
<file path=[Content_Types].xml><?xml version="1.0" encoding="utf-8"?>
<Types xmlns="http://schemas.openxmlformats.org/package/2006/content-types">
  <Default ContentType="application/vnd.openxmlformats-officedocument.vmlDrawing" Extension="vml"/>
  <Default ContentType="image/gif" Extension="gif"/>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y Quilt v3.1" sheetId="1" r:id="rId3"/>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9">
      <text>
        <t xml:space="preserve">Excluding seams and channel allowance.</t>
      </text>
    </comment>
    <comment authorId="0" ref="G10">
      <text>
        <t xml:space="preserve">Excluding seams and channel allowance.</t>
      </text>
    </comment>
    <comment authorId="0" ref="G11">
      <text>
        <t xml:space="preserve">Excluding seams allowance.</t>
      </text>
    </comment>
    <comment authorId="0" ref="G12">
      <text>
        <t xml:space="preserve">Excluding seams allowance.</t>
      </text>
    </comment>
    <comment authorId="0" ref="G14">
      <text>
        <t xml:space="preserve">Excluding seams and channel allowance.</t>
      </text>
    </comment>
    <comment authorId="0" ref="B15">
      <text>
        <t xml:space="preserve">Default 5% is a good value.</t>
      </text>
    </comment>
    <comment authorId="0" ref="G15">
      <text>
        <t xml:space="preserve">Excluding seams and channel allowance.</t>
      </text>
    </comment>
    <comment authorId="0" ref="B16">
      <text>
        <t xml:space="preserve">This is the seams all round for joining fabric. This is not the cord channels.
Usually 0.5in or 1.5cm</t>
      </text>
    </comment>
    <comment authorId="0" ref="G16">
      <text>
        <t xml:space="preserve">Excluding seams allowance.</t>
      </text>
    </comment>
    <comment authorId="0" ref="B17">
      <text>
        <t xml:space="preserve">This is the final channel width on all 4 sides of inner shell. It doubles this and adds 0.5 in for the edge.
Default 1in or 2.5cm</t>
      </text>
    </comment>
    <comment authorId="0" ref="G17">
      <text>
        <t xml:space="preserve">Excluding seams allowance.</t>
      </text>
    </comment>
    <comment authorId="0" ref="B24">
      <text>
        <t xml:space="preserve">It doesnt matter what currency you use.</t>
      </text>
    </comment>
    <comment authorId="0" ref="M26">
      <text>
        <t xml:space="preserve">Includes cutting spare allowance and Salvages on width.</t>
      </text>
    </comment>
    <comment authorId="0" ref="M28">
      <text>
        <t xml:space="preserve">Includes cutting spare allowance and Salvages on width.</t>
      </text>
    </comment>
    <comment authorId="0" ref="M32">
      <text>
        <t xml:space="preserve">Includes cutting spare allowance and Salvages on width.</t>
      </text>
    </comment>
    <comment authorId="0" ref="M34">
      <text>
        <t xml:space="preserve">Includes cutting spare allowance.</t>
      </text>
    </comment>
  </commentList>
</comments>
</file>

<file path=xl/sharedStrings.xml><?xml version="1.0" encoding="utf-8"?>
<sst xmlns="http://schemas.openxmlformats.org/spreadsheetml/2006/main" count="165" uniqueCount="98">
  <si>
    <t>CatSplat's Differential Cut Underquilt Calculator V3.1</t>
  </si>
  <si>
    <t>To use this template,
click File &gt;- Make a Copy</t>
  </si>
  <si>
    <t>Guides are just a guide, dont depend on them :)</t>
  </si>
  <si>
    <t>Nov 2014 With mods from Tacblades</t>
  </si>
  <si>
    <t xml:space="preserve">Mandatory Fields </t>
  </si>
  <si>
    <t>Use of this template is your sole responsibilty.</t>
  </si>
  <si>
    <t>Optional Fields</t>
  </si>
  <si>
    <t>Useful Information Fields</t>
  </si>
  <si>
    <t>Input</t>
  </si>
  <si>
    <t>Output</t>
  </si>
  <si>
    <t>Temperature Rating !! Just a Guide !!</t>
  </si>
  <si>
    <t>Input Here</t>
  </si>
  <si>
    <t>Read Only</t>
  </si>
  <si>
    <t>Excluding Seam and channel allowances</t>
  </si>
  <si>
    <t>Imperial</t>
  </si>
  <si>
    <t>Metric</t>
  </si>
  <si>
    <t>Down Density</t>
  </si>
  <si>
    <t>oz/in^3</t>
  </si>
  <si>
    <t>Length of Quilt, inches (L)</t>
  </si>
  <si>
    <t>cm</t>
  </si>
  <si>
    <t>Inner Shell Fabric Dimensions</t>
  </si>
  <si>
    <t>x</t>
  </si>
  <si>
    <t>in</t>
  </si>
  <si>
    <t>Average Loft</t>
  </si>
  <si>
    <t>Width of Quilt, inches (W)</t>
  </si>
  <si>
    <t>Inner Shell Fabric Width per Baffle (IWB)</t>
  </si>
  <si>
    <t>Fill Power Correction Factor</t>
  </si>
  <si>
    <t>FP/850</t>
  </si>
  <si>
    <t>Baffle Height, inches (Hb)</t>
  </si>
  <si>
    <t>Outer Shell Fabric Dimensions</t>
  </si>
  <si>
    <t>Temperature Factor</t>
  </si>
  <si>
    <t>oz/in^2</t>
  </si>
  <si>
    <t>Maximum Chamber Height, inches (Hc)</t>
  </si>
  <si>
    <t>Outer Shell Fabric Width per Baffle (OWB)</t>
  </si>
  <si>
    <t>Temperature Rating</t>
  </si>
  <si>
    <t>Deg F</t>
  </si>
  <si>
    <t>Number of Baffle Chambers</t>
  </si>
  <si>
    <t>Deg C</t>
  </si>
  <si>
    <t>Down Fill Rating</t>
  </si>
  <si>
    <t>% Down Overstuff (or - for understuff)</t>
  </si>
  <si>
    <t>Factor</t>
  </si>
  <si>
    <t>Temp F</t>
  </si>
  <si>
    <t>Temp C</t>
  </si>
  <si>
    <t>Seam Allowance</t>
  </si>
  <si>
    <t>UGQ Zeppelin 40</t>
  </si>
  <si>
    <t>Width of cord channel inches</t>
  </si>
  <si>
    <t>HG Incubator 40</t>
  </si>
  <si>
    <t>Shell Fabric Weight per yd2</t>
  </si>
  <si>
    <t>gsm</t>
  </si>
  <si>
    <t>UGQ Zeppelin 20</t>
  </si>
  <si>
    <t>Baffle Material Weight per yd2</t>
  </si>
  <si>
    <t>Baffle Chamber Cross-sectional Area</t>
  </si>
  <si>
    <t>in2</t>
  </si>
  <si>
    <t>cm2</t>
  </si>
  <si>
    <t>HG Incubator 20</t>
  </si>
  <si>
    <t>input here</t>
  </si>
  <si>
    <t>and/or here</t>
  </si>
  <si>
    <t>UGQ Zeppelin 0</t>
  </si>
  <si>
    <t>Cost Outer Fabric per yd</t>
  </si>
  <si>
    <t>per m</t>
  </si>
  <si>
    <t>Volume per Baffle Chamber</t>
  </si>
  <si>
    <t>in3</t>
  </si>
  <si>
    <t>cm3</t>
  </si>
  <si>
    <t>Cost Inner Fabric per yd</t>
  </si>
  <si>
    <t>Oz. of down per chamber</t>
  </si>
  <si>
    <t>oz</t>
  </si>
  <si>
    <t>g</t>
  </si>
  <si>
    <t>Fabric Calculator !! Just a Guide !!</t>
  </si>
  <si>
    <t>Cost Baffle Fabric per yd</t>
  </si>
  <si>
    <t>Including Seam and Channel Allowances</t>
  </si>
  <si>
    <t>Length</t>
  </si>
  <si>
    <t>Width</t>
  </si>
  <si>
    <t>Cost</t>
  </si>
  <si>
    <t>Cost of Down per 100g</t>
  </si>
  <si>
    <t>Total Chamber Volume</t>
  </si>
  <si>
    <t>Inner Shell Fabric</t>
  </si>
  <si>
    <t>Total Oz. of down</t>
  </si>
  <si>
    <t>Outer Shell Fabric</t>
  </si>
  <si>
    <t>Total Shell fabric</t>
  </si>
  <si>
    <t>yrd</t>
  </si>
  <si>
    <t>Quilt Dimension Overview</t>
  </si>
  <si>
    <t>Baffle Cross-section Detail</t>
  </si>
  <si>
    <t>Approx. Weight of Quilt, including suspension</t>
  </si>
  <si>
    <t>Each Baffle Size</t>
  </si>
  <si>
    <t>Baffle Fabric</t>
  </si>
  <si>
    <t>Conversion Quick Calculator</t>
  </si>
  <si>
    <t>Lengh in inches</t>
  </si>
  <si>
    <t>Length in cm</t>
  </si>
  <si>
    <t>m</t>
  </si>
  <si>
    <t>Area Square Yards</t>
  </si>
  <si>
    <t>yd2</t>
  </si>
  <si>
    <t>Area Grams per square Meter</t>
  </si>
  <si>
    <t>Weight oz</t>
  </si>
  <si>
    <t>Total Down rounded up</t>
  </si>
  <si>
    <t>Weight g</t>
  </si>
  <si>
    <t>Metric Total Cost</t>
  </si>
  <si>
    <t>Imperial Total Cost</t>
  </si>
  <si>
    <t xml:space="preserve">This diagram illustrates the cross-sectional view of a sample underquilt. The red section shows the fabric that is defined by the "Outer Shell Fabric Dimensions" value. The blue section shows the fabric that is defined by the "Inner Shell Fabric Dimensions" value. The thin black lines represent the baffles.  When hung, the Inner shell faces the hammock, while the Outer shell will face away from the hammock. Suspension channels (or loops for the shock cord) would be attached along the edges where the Outer shell meets the Inner shell. When hung, the UQ cross-section will look similar to this: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</si>
</sst>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00"/>
    <numFmt numFmtId="165" formatCode="#,##0.0"/>
  </numFmts>
  <fonts count="11">
    <font>
      <sz val="10.0"/>
      <color rgb="FF000000"/>
      <name val="Arial"/>
    </font>
    <font/>
    <font>
      <b/>
      <sz val="14.0"/>
      <color rgb="FF000000"/>
      <name val="Calibri"/>
    </font>
    <font>
      <sz val="12.0"/>
      <color rgb="FF000000"/>
    </font>
    <font>
      <sz val="14.0"/>
    </font>
    <font>
      <sz val="12.0"/>
    </font>
    <font>
      <sz val="10.0"/>
      <color rgb="FF000000"/>
      <name val="Calibri"/>
    </font>
    <font>
      <sz val="11.0"/>
      <color rgb="FF000000"/>
      <name val="Calibri"/>
    </font>
    <font>
      <b/>
      <sz val="16.0"/>
      <color rgb="FF000000"/>
      <name val="Calibri"/>
    </font>
    <font>
      <b/>
      <sz val="10.0"/>
    </font>
    <font>
      <b/>
      <sz val="11.0"/>
      <color rgb="FF000000"/>
      <name val="Calibri"/>
    </font>
  </fonts>
  <fills count="7">
    <fill>
      <patternFill patternType="none"/>
    </fill>
    <fill>
      <patternFill patternType="lightGray"/>
    </fill>
    <fill>
      <patternFill patternType="solid">
        <fgColor rgb="FFEFEFEF"/>
        <bgColor rgb="FFEFEFEF"/>
      </patternFill>
    </fill>
    <fill>
      <patternFill patternType="solid">
        <fgColor rgb="FFFFFF00"/>
        <bgColor rgb="FFFFFF00"/>
      </patternFill>
    </fill>
    <fill>
      <patternFill patternType="solid">
        <fgColor rgb="FFD9EAD3"/>
        <bgColor rgb="FFD9EAD3"/>
      </patternFill>
    </fill>
    <fill>
      <patternFill patternType="solid">
        <fgColor rgb="FFFCE5CD"/>
        <bgColor rgb="FFFCE5CD"/>
      </patternFill>
    </fill>
    <fill>
      <patternFill patternType="solid">
        <fgColor rgb="FFFFD966"/>
        <bgColor rgb="FFFFD966"/>
      </patternFill>
    </fill>
  </fills>
  <borders count="48">
    <border/>
    <border>
      <bottom style="thin">
        <color rgb="FF434343"/>
      </bottom>
    </border>
    <border>
      <right style="thin">
        <color rgb="FF000000"/>
      </right>
    </border>
    <border>
      <left style="thin">
        <color rgb="FF000000"/>
      </left>
      <right style="thin">
        <color rgb="FF000000"/>
      </right>
      <top style="thin">
        <color rgb="FF434343"/>
      </top>
      <bottom style="thin">
        <color rgb="FF000000"/>
      </bottom>
    </border>
    <border>
      <left style="thin">
        <color rgb="FF000000"/>
      </left>
    </border>
    <border>
      <left style="thin">
        <color rgb="FF000000"/>
      </left>
      <right style="thin">
        <color rgb="FF000000"/>
      </right>
      <top style="thin">
        <color rgb="FF000000"/>
      </top>
      <bottom style="thin">
        <color rgb="FF434343"/>
      </bottom>
    </border>
    <border>
      <left style="thin">
        <color rgb="FF000000"/>
      </left>
      <right style="thin">
        <color rgb="FF434343"/>
      </right>
    </border>
    <border>
      <left style="thin">
        <color rgb="FF434343"/>
      </left>
      <right style="thin">
        <color rgb="FF434343"/>
      </right>
      <top style="thin">
        <color rgb="FF434343"/>
      </top>
      <bottom style="thin">
        <color rgb="FF434343"/>
      </bottom>
    </border>
    <border>
      <left style="thin">
        <color rgb="FF434343"/>
      </left>
    </border>
    <border>
      <top style="thin">
        <color rgb="FF434343"/>
      </top>
    </border>
    <border>
      <right style="thin">
        <color rgb="FFA61C00"/>
      </right>
    </border>
    <border>
      <left style="thin">
        <color rgb="FFA61C00"/>
      </left>
    </border>
    <border>
      <bottom style="thin">
        <color rgb="FF000000"/>
      </bottom>
    </border>
    <border>
      <right style="thin">
        <color rgb="FF434343"/>
      </right>
    </border>
    <border>
      <left style="thin">
        <color rgb="FF434343"/>
      </left>
      <right style="thin">
        <color rgb="FF999999"/>
      </right>
      <top style="thin">
        <color rgb="FF000000"/>
      </top>
      <bottom style="thin">
        <color rgb="FF999999"/>
      </bottom>
    </border>
    <border>
      <left style="thin">
        <color rgb="FF999999"/>
      </left>
      <right style="thin">
        <color rgb="FFA61C00"/>
      </right>
    </border>
    <border>
      <left style="thin">
        <color rgb="FF434343"/>
      </left>
      <right style="thin">
        <color rgb="FF999999"/>
      </right>
      <top style="thin">
        <color rgb="FF999999"/>
      </top>
      <bottom style="thin">
        <color rgb="FF999999"/>
      </bottom>
    </border>
    <border>
      <left style="thin">
        <color rgb="FF434343"/>
      </left>
      <top style="thin">
        <color rgb="FF999999"/>
      </top>
    </border>
    <border>
      <left style="thin">
        <color rgb="FF434343"/>
      </left>
      <bottom style="thin">
        <color rgb="FF000000"/>
      </bottom>
    </border>
    <border>
      <top style="thin">
        <color rgb="FF434343"/>
      </top>
      <bottom style="thin">
        <color rgb="FF434343"/>
      </bottom>
    </border>
    <border>
      <top style="thin">
        <color rgb="FF999999"/>
      </top>
      <bottom style="thin">
        <color rgb="FF000000"/>
      </bottom>
    </border>
    <border>
      <left style="thin">
        <color rgb="FF434343"/>
      </left>
      <right style="thin">
        <color rgb="FF434343"/>
      </right>
      <top style="thin">
        <color rgb="FF000000"/>
      </top>
      <bottom style="thin">
        <color rgb="FF434343"/>
      </bottom>
    </border>
    <border>
      <left style="thin">
        <color rgb="FF434343"/>
      </left>
      <right style="thin">
        <color rgb="FFA61C00"/>
      </right>
    </border>
    <border>
      <left style="thin">
        <color rgb="FFA61C00"/>
      </left>
      <bottom style="thin">
        <color rgb="FFA61C00"/>
      </bottom>
    </border>
    <border>
      <bottom style="thin">
        <color rgb="FFA61C00"/>
      </bottom>
    </border>
    <border>
      <right style="thin">
        <color rgb="FFA61C00"/>
      </right>
      <bottom style="thin">
        <color rgb="FFA61C00"/>
      </bottom>
    </border>
    <border>
      <left style="thin">
        <color rgb="FFA61C00"/>
      </left>
      <top style="thin">
        <color rgb="FFA61C00"/>
      </top>
    </border>
    <border>
      <top style="thin">
        <color rgb="FFA61C00"/>
      </top>
    </border>
    <border>
      <right style="thin">
        <color rgb="FFA61C00"/>
      </right>
      <top style="thin">
        <color rgb="FFA61C00"/>
      </top>
    </border>
    <border>
      <right style="thin">
        <color rgb="FF434343"/>
      </right>
      <top style="thin">
        <color rgb="FF434343"/>
      </top>
    </border>
    <border>
      <right style="thin">
        <color rgb="FFA61C00"/>
      </right>
      <bottom style="thin">
        <color rgb="FF999999"/>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999999"/>
      </right>
    </border>
    <border>
      <left style="thin">
        <color rgb="FF999999"/>
      </left>
      <right style="thin">
        <color rgb="FFA61C00"/>
      </right>
      <top style="thin">
        <color rgb="FF999999"/>
      </top>
      <bottom style="thin">
        <color rgb="FF999999"/>
      </bottom>
    </border>
    <border>
      <top style="thin">
        <color rgb="FF000000"/>
      </top>
      <bottom style="thin">
        <color rgb="FF000000"/>
      </bottom>
    </border>
    <border>
      <right style="thin">
        <color rgb="FFA61C00"/>
      </right>
      <top style="thin">
        <color rgb="FF999999"/>
      </top>
      <bottom style="thin">
        <color rgb="FF999999"/>
      </bottom>
    </border>
    <border>
      <top style="thin">
        <color rgb="FF000000"/>
      </top>
    </border>
    <border>
      <right style="thin">
        <color rgb="FFA61C00"/>
      </right>
      <top style="thin">
        <color rgb="FF999999"/>
      </top>
    </border>
    <border>
      <top style="thin">
        <color rgb="FFA61C00"/>
      </top>
      <bottom style="thin">
        <color rgb="FF434343"/>
      </bottom>
    </border>
    <border>
      <top style="thin">
        <color rgb="FFA61C00"/>
      </top>
      <bottom style="thin">
        <color rgb="FF999999"/>
      </bottom>
    </border>
    <border>
      <left style="thin">
        <color rgb="FF434343"/>
      </left>
      <right style="thin">
        <color rgb="FF999999"/>
      </right>
    </border>
    <border>
      <left style="thin">
        <color rgb="FF999999"/>
      </left>
      <right style="thin">
        <color rgb="FF999999"/>
      </right>
      <top style="thin">
        <color rgb="FF999999"/>
      </top>
      <bottom style="thin">
        <color rgb="FF999999"/>
      </bottom>
    </border>
    <border>
      <top style="thin">
        <color rgb="FF000000"/>
      </top>
      <bottom style="thin">
        <color rgb="FF434343"/>
      </bottom>
    </border>
    <border>
      <left style="thin">
        <color rgb="FF434343"/>
      </left>
      <right style="thin">
        <color rgb="FF000000"/>
      </right>
    </border>
    <border>
      <top style="thin">
        <color rgb="FF999999"/>
      </top>
    </border>
    <border>
      <left style="thin">
        <color rgb="FF434343"/>
      </left>
      <right style="thin">
        <color rgb="FFA61C00"/>
      </right>
      <top style="thin">
        <color rgb="FF999999"/>
      </top>
      <bottom style="thin">
        <color rgb="FF434343"/>
      </bottom>
    </border>
    <border>
      <left style="thin">
        <color rgb="FF434343"/>
      </left>
      <right style="thin">
        <color rgb="FFA61C00"/>
      </right>
      <top style="thin">
        <color rgb="FF434343"/>
      </top>
      <bottom style="thin">
        <color rgb="FF434343"/>
      </bottom>
    </border>
  </borders>
  <cellStyleXfs count="1">
    <xf borderId="0" fillId="0" fontId="0" numFmtId="0" applyAlignment="1" applyFont="1"/>
  </cellStyleXfs>
  <cellXfs count="131">
    <xf borderId="0" fillId="0" fontId="0" numFmtId="0" xfId="0" applyAlignment="1" applyFont="1">
      <alignment readingOrder="0" shrinkToFit="0" vertical="bottom" wrapText="1"/>
    </xf>
    <xf borderId="0" fillId="2" fontId="1" numFmtId="0" xfId="0" applyAlignment="1" applyFill="1" applyFont="1">
      <alignment shrinkToFit="0" wrapText="1"/>
    </xf>
    <xf borderId="0" fillId="3" fontId="2" numFmtId="0" xfId="0" applyAlignment="1" applyFill="1" applyFont="1">
      <alignment readingOrder="0" shrinkToFit="0" vertical="center" wrapText="0"/>
    </xf>
    <xf borderId="0" fillId="3" fontId="1" numFmtId="0" xfId="0" applyAlignment="1" applyFont="1">
      <alignment shrinkToFit="0" wrapText="1"/>
    </xf>
    <xf borderId="0" fillId="3" fontId="3" numFmtId="0" xfId="0" applyAlignment="1" applyFont="1">
      <alignment horizontal="center" readingOrder="0" shrinkToFit="0" vertical="center" wrapText="0"/>
    </xf>
    <xf borderId="0" fillId="3" fontId="4" numFmtId="0" xfId="0" applyAlignment="1" applyFont="1">
      <alignment shrinkToFit="0" vertical="center" wrapText="1"/>
    </xf>
    <xf borderId="0" fillId="3" fontId="5" numFmtId="0" xfId="0" applyAlignment="1" applyFont="1">
      <alignment horizontal="center" readingOrder="0" shrinkToFit="0" vertical="center" wrapText="1"/>
    </xf>
    <xf borderId="0" fillId="3" fontId="1" numFmtId="0" xfId="0" applyAlignment="1" applyFont="1">
      <alignment horizontal="left" shrinkToFit="0" vertical="bottom" wrapText="1"/>
    </xf>
    <xf borderId="0" fillId="2" fontId="6" numFmtId="0" xfId="0" applyAlignment="1" applyFont="1">
      <alignment shrinkToFit="0" vertical="bottom" wrapText="0"/>
    </xf>
    <xf borderId="1" fillId="0" fontId="1" numFmtId="0" xfId="0" applyAlignment="1" applyBorder="1" applyFont="1">
      <alignment shrinkToFit="0" wrapText="1"/>
    </xf>
    <xf borderId="0" fillId="2" fontId="1" numFmtId="0" xfId="0" applyAlignment="1" applyFont="1">
      <alignment shrinkToFit="0" vertical="center" wrapText="1"/>
    </xf>
    <xf borderId="0" fillId="2" fontId="1" numFmtId="0" xfId="0" applyAlignment="1" applyFont="1">
      <alignment horizontal="left" shrinkToFit="0" vertical="bottom" wrapText="1"/>
    </xf>
    <xf borderId="0" fillId="2" fontId="7" numFmtId="0" xfId="0" applyAlignment="1" applyFont="1">
      <alignment readingOrder="0" shrinkToFit="0" vertical="bottom" wrapText="0"/>
    </xf>
    <xf borderId="0" fillId="2" fontId="1" numFmtId="0" xfId="0" applyAlignment="1" applyFont="1">
      <alignment readingOrder="0" shrinkToFit="0" wrapText="1"/>
    </xf>
    <xf borderId="2" fillId="0" fontId="1" numFmtId="0" xfId="0" applyAlignment="1" applyBorder="1" applyFont="1">
      <alignment shrinkToFit="0" wrapText="1"/>
    </xf>
    <xf borderId="3" fillId="4" fontId="7" numFmtId="0" xfId="0" applyAlignment="1" applyBorder="1" applyFill="1" applyFont="1">
      <alignment shrinkToFit="0" vertical="bottom" wrapText="0"/>
    </xf>
    <xf borderId="4" fillId="2" fontId="1" numFmtId="0" xfId="0" applyAlignment="1" applyBorder="1" applyFont="1">
      <alignment horizontal="right" shrinkToFit="0" vertical="bottom" wrapText="1"/>
    </xf>
    <xf borderId="1" fillId="2" fontId="1" numFmtId="0" xfId="0" applyAlignment="1" applyBorder="1" applyFont="1">
      <alignment shrinkToFit="0" wrapText="1"/>
    </xf>
    <xf borderId="0" fillId="2" fontId="1" numFmtId="0" xfId="0" applyAlignment="1" applyFont="1">
      <alignment horizontal="center" shrinkToFit="0" vertical="bottom" wrapText="1"/>
    </xf>
    <xf borderId="5" fillId="5" fontId="7" numFmtId="0" xfId="0" applyAlignment="1" applyBorder="1" applyFill="1" applyFont="1">
      <alignment shrinkToFit="0" vertical="bottom" wrapText="0"/>
    </xf>
    <xf borderId="6" fillId="2" fontId="1" numFmtId="0" xfId="0" applyAlignment="1" applyBorder="1" applyFont="1">
      <alignment horizontal="right" readingOrder="0" shrinkToFit="0" vertical="bottom" wrapText="1"/>
    </xf>
    <xf borderId="7" fillId="6" fontId="1" numFmtId="0" xfId="0" applyAlignment="1" applyBorder="1" applyFill="1" applyFont="1">
      <alignment shrinkToFit="0" wrapText="1"/>
    </xf>
    <xf borderId="8" fillId="2" fontId="1" numFmtId="0" xfId="0" applyAlignment="1" applyBorder="1" applyFont="1">
      <alignment horizontal="center" shrinkToFit="0" vertical="bottom" wrapText="1"/>
    </xf>
    <xf borderId="9" fillId="2" fontId="1" numFmtId="0" xfId="0" applyAlignment="1" applyBorder="1" applyFont="1">
      <alignment shrinkToFit="0" wrapText="1"/>
    </xf>
    <xf borderId="0" fillId="2" fontId="8" numFmtId="0" xfId="0" applyAlignment="1" applyFont="1">
      <alignment horizontal="center" readingOrder="0" shrinkToFit="0" vertical="bottom" wrapText="0"/>
    </xf>
    <xf borderId="10" fillId="2" fontId="1" numFmtId="0" xfId="0" applyAlignment="1" applyBorder="1" applyFont="1">
      <alignment shrinkToFit="0" wrapText="1"/>
    </xf>
    <xf borderId="11" fillId="2" fontId="1" numFmtId="0" xfId="0" applyAlignment="1" applyBorder="1" applyFont="1">
      <alignment shrinkToFit="0" wrapText="1"/>
    </xf>
    <xf borderId="10" fillId="2" fontId="1" numFmtId="0" xfId="0" applyAlignment="1" applyBorder="1" applyFont="1">
      <alignment shrinkToFit="0" vertical="center" wrapText="1"/>
    </xf>
    <xf borderId="10" fillId="0" fontId="1" numFmtId="0" xfId="0" applyAlignment="1" applyBorder="1" applyFont="1">
      <alignment shrinkToFit="0" wrapText="1"/>
    </xf>
    <xf borderId="0" fillId="2" fontId="9" numFmtId="0" xfId="0" applyAlignment="1" applyFont="1">
      <alignment horizontal="center" readingOrder="0" shrinkToFit="0" vertical="center" wrapText="1"/>
    </xf>
    <xf borderId="0" fillId="2" fontId="1" numFmtId="0" xfId="0" applyAlignment="1" applyFont="1">
      <alignment horizontal="center" readingOrder="0" shrinkToFit="0" vertical="center" wrapText="1"/>
    </xf>
    <xf borderId="0" fillId="2" fontId="7" numFmtId="0" xfId="0" applyAlignment="1" applyFont="1">
      <alignment horizontal="center" readingOrder="0" shrinkToFit="0" vertical="bottom" wrapText="0"/>
    </xf>
    <xf borderId="1" fillId="2" fontId="1" numFmtId="0" xfId="0" applyAlignment="1" applyBorder="1" applyFont="1">
      <alignment horizontal="center" readingOrder="0" shrinkToFit="0" vertical="center" wrapText="1"/>
    </xf>
    <xf borderId="12" fillId="2" fontId="1" numFmtId="0" xfId="0" applyAlignment="1" applyBorder="1" applyFont="1">
      <alignment horizontal="center" readingOrder="0" shrinkToFit="0" vertical="center" wrapText="1"/>
    </xf>
    <xf borderId="0" fillId="2" fontId="7" numFmtId="164" xfId="0" applyAlignment="1" applyFont="1" applyNumberFormat="1">
      <alignment shrinkToFit="0" vertical="bottom" wrapText="0"/>
    </xf>
    <xf borderId="13" fillId="2" fontId="7" numFmtId="0" xfId="0" applyAlignment="1" applyBorder="1" applyFont="1">
      <alignment readingOrder="0" shrinkToFit="0" vertical="bottom" wrapText="0"/>
    </xf>
    <xf borderId="7" fillId="4" fontId="7" numFmtId="0" xfId="0" applyAlignment="1" applyBorder="1" applyFont="1">
      <alignment readingOrder="0" shrinkToFit="0" vertical="bottom" wrapText="0"/>
    </xf>
    <xf borderId="14" fillId="2" fontId="7" numFmtId="0" xfId="0" applyAlignment="1" applyBorder="1" applyFont="1">
      <alignment shrinkToFit="0" vertical="bottom" wrapText="0"/>
    </xf>
    <xf borderId="15" fillId="2" fontId="1" numFmtId="0" xfId="0" applyAlignment="1" applyBorder="1" applyFont="1">
      <alignment readingOrder="0" shrinkToFit="0" wrapText="1"/>
    </xf>
    <xf borderId="0" fillId="2" fontId="7" numFmtId="0" xfId="0" applyAlignment="1" applyFont="1">
      <alignment readingOrder="0" shrinkToFit="0" vertical="center" wrapText="0"/>
    </xf>
    <xf borderId="0" fillId="2" fontId="7" numFmtId="165" xfId="0" applyAlignment="1" applyFont="1" applyNumberFormat="1">
      <alignment horizontal="center" shrinkToFit="0" vertical="center" wrapText="0"/>
    </xf>
    <xf borderId="0" fillId="2" fontId="7" numFmtId="0" xfId="0" applyAlignment="1" applyFont="1">
      <alignment horizontal="center" readingOrder="0" shrinkToFit="0" vertical="center" wrapText="0"/>
    </xf>
    <xf borderId="10" fillId="2" fontId="1" numFmtId="0" xfId="0" applyAlignment="1" applyBorder="1" applyFont="1">
      <alignment readingOrder="0" shrinkToFit="0" vertical="center" wrapText="1"/>
    </xf>
    <xf borderId="16" fillId="2" fontId="7" numFmtId="0" xfId="0" applyAlignment="1" applyBorder="1" applyFont="1">
      <alignment shrinkToFit="0" vertical="bottom" wrapText="0"/>
    </xf>
    <xf borderId="0" fillId="2" fontId="7" numFmtId="0" xfId="0" applyAlignment="1" applyFont="1">
      <alignment horizontal="center" shrinkToFit="0" vertical="center" wrapText="0"/>
    </xf>
    <xf borderId="0" fillId="2" fontId="1" numFmtId="165" xfId="0" applyAlignment="1" applyFont="1" applyNumberFormat="1">
      <alignment horizontal="center" shrinkToFit="0" vertical="center" wrapText="1"/>
    </xf>
    <xf borderId="1" fillId="2" fontId="7" numFmtId="164" xfId="0" applyAlignment="1" applyBorder="1" applyFont="1" applyNumberFormat="1">
      <alignment shrinkToFit="0" vertical="bottom" wrapText="0"/>
    </xf>
    <xf borderId="7" fillId="6" fontId="7" numFmtId="3" xfId="0" applyAlignment="1" applyBorder="1" applyFont="1" applyNumberFormat="1">
      <alignment shrinkToFit="0" vertical="bottom" wrapText="0"/>
    </xf>
    <xf borderId="8" fillId="2" fontId="7" numFmtId="0" xfId="0" applyAlignment="1" applyBorder="1" applyFont="1">
      <alignment readingOrder="0" shrinkToFit="0" vertical="bottom" wrapText="0"/>
    </xf>
    <xf borderId="17" fillId="2" fontId="1" numFmtId="0" xfId="0" applyAlignment="1" applyBorder="1" applyFont="1">
      <alignment shrinkToFit="0" wrapText="1"/>
    </xf>
    <xf borderId="0" fillId="0" fontId="1" numFmtId="0" xfId="0" applyAlignment="1" applyFont="1">
      <alignment shrinkToFit="0" vertical="center" wrapText="1"/>
    </xf>
    <xf borderId="13" fillId="2" fontId="1" numFmtId="0" xfId="0" applyAlignment="1" applyBorder="1" applyFont="1">
      <alignment readingOrder="0" shrinkToFit="0" wrapText="1"/>
    </xf>
    <xf borderId="8" fillId="2" fontId="1" numFmtId="0" xfId="0" applyAlignment="1" applyBorder="1" applyFont="1">
      <alignment readingOrder="0" shrinkToFit="0" wrapText="1"/>
    </xf>
    <xf borderId="8" fillId="2" fontId="1" numFmtId="0" xfId="0" applyAlignment="1" applyBorder="1" applyFont="1">
      <alignment shrinkToFit="0" wrapText="1"/>
    </xf>
    <xf borderId="7" fillId="4" fontId="7" numFmtId="9" xfId="0" applyAlignment="1" applyBorder="1" applyFont="1" applyNumberFormat="1">
      <alignment readingOrder="0" shrinkToFit="0" vertical="bottom" wrapText="0"/>
    </xf>
    <xf borderId="18" fillId="2" fontId="1" numFmtId="0" xfId="0" applyAlignment="1" applyBorder="1" applyFont="1">
      <alignment shrinkToFit="0" wrapText="1"/>
    </xf>
    <xf borderId="0" fillId="2" fontId="1" numFmtId="0" xfId="0" applyAlignment="1" applyFont="1">
      <alignment horizontal="center" readingOrder="0" shrinkToFit="0" vertical="bottom" wrapText="1"/>
    </xf>
    <xf borderId="7" fillId="5" fontId="7" numFmtId="0" xfId="0" applyAlignment="1" applyBorder="1" applyFont="1">
      <alignment readingOrder="0" shrinkToFit="0" vertical="bottom" wrapText="0"/>
    </xf>
    <xf borderId="0" fillId="2" fontId="7" numFmtId="0" xfId="0" applyAlignment="1" applyFont="1">
      <alignment horizontal="right" readingOrder="0" shrinkToFit="0" vertical="bottom" wrapText="0"/>
    </xf>
    <xf borderId="0" fillId="2" fontId="7" numFmtId="164" xfId="0" applyAlignment="1" applyFont="1" applyNumberFormat="1">
      <alignment horizontal="center" readingOrder="0" shrinkToFit="0" vertical="bottom" wrapText="0"/>
    </xf>
    <xf borderId="0" fillId="2" fontId="1" numFmtId="0" xfId="0" applyAlignment="1" applyFont="1">
      <alignment horizontal="center" shrinkToFit="0" vertical="center" wrapText="1"/>
    </xf>
    <xf borderId="0" fillId="2" fontId="7" numFmtId="4" xfId="0" applyAlignment="1" applyFont="1" applyNumberFormat="1">
      <alignment horizontal="center" shrinkToFit="0" vertical="center" wrapText="0"/>
    </xf>
    <xf borderId="10" fillId="2" fontId="7" numFmtId="0" xfId="0" applyAlignment="1" applyBorder="1" applyFont="1">
      <alignment horizontal="left" readingOrder="0" shrinkToFit="0" vertical="bottom" wrapText="0"/>
    </xf>
    <xf borderId="19" fillId="2" fontId="1" numFmtId="0" xfId="0" applyAlignment="1" applyBorder="1" applyFont="1">
      <alignment horizontal="center" readingOrder="0" shrinkToFit="0" vertical="bottom" wrapText="1"/>
    </xf>
    <xf borderId="20" fillId="2" fontId="1" numFmtId="0" xfId="0" applyAlignment="1" applyBorder="1" applyFont="1">
      <alignment horizontal="center" readingOrder="0" shrinkToFit="0" vertical="bottom" wrapText="1"/>
    </xf>
    <xf borderId="7" fillId="5" fontId="7" numFmtId="4" xfId="0" applyAlignment="1" applyBorder="1" applyFont="1" applyNumberFormat="1">
      <alignment shrinkToFit="0" vertical="bottom" wrapText="0"/>
    </xf>
    <xf borderId="21" fillId="5" fontId="7" numFmtId="4" xfId="0" applyAlignment="1" applyBorder="1" applyFont="1" applyNumberFormat="1">
      <alignment readingOrder="0" shrinkToFit="0" vertical="bottom" wrapText="0"/>
    </xf>
    <xf borderId="22" fillId="2" fontId="1" numFmtId="0" xfId="0" applyAlignment="1" applyBorder="1" applyFont="1">
      <alignment readingOrder="0" shrinkToFit="0" wrapText="1"/>
    </xf>
    <xf borderId="1" fillId="2" fontId="7" numFmtId="4" xfId="0" applyAlignment="1" applyBorder="1" applyFont="1" applyNumberFormat="1">
      <alignment horizontal="center" shrinkToFit="0" vertical="center" wrapText="0"/>
    </xf>
    <xf borderId="1" fillId="2" fontId="1" numFmtId="0" xfId="0" applyAlignment="1" applyBorder="1" applyFont="1">
      <alignment horizontal="center" shrinkToFit="0" vertical="center" wrapText="1"/>
    </xf>
    <xf borderId="23" fillId="2" fontId="1" numFmtId="0" xfId="0" applyAlignment="1" applyBorder="1" applyFont="1">
      <alignment shrinkToFit="0" wrapText="1"/>
    </xf>
    <xf borderId="24" fillId="2" fontId="1" numFmtId="0" xfId="0" applyAlignment="1" applyBorder="1" applyFont="1">
      <alignment shrinkToFit="0" wrapText="1"/>
    </xf>
    <xf borderId="24" fillId="2" fontId="1" numFmtId="0" xfId="0" applyAlignment="1" applyBorder="1" applyFont="1">
      <alignment horizontal="left" shrinkToFit="0" vertical="bottom" wrapText="1"/>
    </xf>
    <xf borderId="25" fillId="2" fontId="1" numFmtId="0" xfId="0" applyAlignment="1" applyBorder="1" applyFont="1">
      <alignment shrinkToFit="0" wrapText="1"/>
    </xf>
    <xf borderId="7" fillId="5" fontId="7" numFmtId="4" xfId="0" applyAlignment="1" applyBorder="1" applyFont="1" applyNumberFormat="1">
      <alignment readingOrder="0" shrinkToFit="0" vertical="bottom" wrapText="0"/>
    </xf>
    <xf borderId="19" fillId="6" fontId="7" numFmtId="4" xfId="0" applyAlignment="1" applyBorder="1" applyFont="1" applyNumberFormat="1">
      <alignment horizontal="center" shrinkToFit="0" vertical="center" wrapText="0"/>
    </xf>
    <xf borderId="19" fillId="6" fontId="7" numFmtId="3" xfId="0" applyAlignment="1" applyBorder="1" applyFont="1" applyNumberFormat="1">
      <alignment horizontal="center" shrinkToFit="0" vertical="center" wrapText="0"/>
    </xf>
    <xf borderId="26" fillId="2" fontId="1" numFmtId="0" xfId="0" applyAlignment="1" applyBorder="1" applyFont="1">
      <alignment shrinkToFit="0" wrapText="1"/>
    </xf>
    <xf borderId="27" fillId="2" fontId="8" numFmtId="0" xfId="0" applyAlignment="1" applyBorder="1" applyFont="1">
      <alignment horizontal="center" readingOrder="0" shrinkToFit="0" vertical="bottom" wrapText="0"/>
    </xf>
    <xf borderId="27" fillId="0" fontId="1" numFmtId="0" xfId="0" applyAlignment="1" applyBorder="1" applyFont="1">
      <alignment shrinkToFit="0" wrapText="1"/>
    </xf>
    <xf borderId="28" fillId="0" fontId="1" numFmtId="0" xfId="0" applyAlignment="1" applyBorder="1" applyFont="1">
      <alignment shrinkToFit="0" wrapText="1"/>
    </xf>
    <xf borderId="9" fillId="2" fontId="1" numFmtId="4" xfId="0" applyAlignment="1" applyBorder="1" applyFont="1" applyNumberFormat="1">
      <alignment horizontal="center" shrinkToFit="0" vertical="center" wrapText="1"/>
    </xf>
    <xf borderId="9" fillId="2" fontId="1" numFmtId="0" xfId="0" applyAlignment="1" applyBorder="1" applyFont="1">
      <alignment horizontal="center" shrinkToFit="0" vertical="center" wrapText="1"/>
    </xf>
    <xf borderId="0" fillId="2" fontId="9" numFmtId="0" xfId="0" applyAlignment="1" applyFont="1">
      <alignment readingOrder="0" shrinkToFit="0" vertical="center" wrapText="1"/>
    </xf>
    <xf borderId="0" fillId="2" fontId="9" numFmtId="0" xfId="0" applyAlignment="1" applyFont="1">
      <alignment shrinkToFit="0" vertical="center" wrapText="1"/>
    </xf>
    <xf borderId="10" fillId="2" fontId="9" numFmtId="0" xfId="0" applyAlignment="1" applyBorder="1" applyFont="1">
      <alignment readingOrder="0" shrinkToFit="0" vertical="center" wrapText="1"/>
    </xf>
    <xf borderId="29" fillId="2" fontId="1" numFmtId="0" xfId="0" applyAlignment="1" applyBorder="1" applyFont="1">
      <alignment shrinkToFit="0" wrapText="1"/>
    </xf>
    <xf borderId="22" fillId="2" fontId="1" numFmtId="0" xfId="0" applyAlignment="1" applyBorder="1" applyFont="1">
      <alignment shrinkToFit="0" wrapText="1"/>
    </xf>
    <xf borderId="1" fillId="2" fontId="7" numFmtId="3" xfId="0" applyAlignment="1" applyBorder="1" applyFont="1" applyNumberFormat="1">
      <alignment horizontal="center" shrinkToFit="0" vertical="center" wrapText="0"/>
    </xf>
    <xf borderId="0" fillId="2" fontId="1" numFmtId="0" xfId="0" applyAlignment="1" applyFont="1">
      <alignment readingOrder="0" shrinkToFit="0" vertical="center" wrapText="1"/>
    </xf>
    <xf borderId="0" fillId="2" fontId="1" numFmtId="3" xfId="0" applyAlignment="1" applyFont="1" applyNumberFormat="1">
      <alignment horizontal="center" shrinkToFit="0" vertical="center" wrapText="1"/>
    </xf>
    <xf borderId="10" fillId="2" fontId="1" numFmtId="4" xfId="0" applyAlignment="1" applyBorder="1" applyFont="1" applyNumberFormat="1">
      <alignment shrinkToFit="0" vertical="center" wrapText="1"/>
    </xf>
    <xf borderId="12" fillId="2" fontId="1" numFmtId="3" xfId="0" applyAlignment="1" applyBorder="1" applyFont="1" applyNumberFormat="1">
      <alignment horizontal="center" shrinkToFit="0" vertical="center" wrapText="1"/>
    </xf>
    <xf borderId="30" fillId="2" fontId="1" numFmtId="4" xfId="0" applyAlignment="1" applyBorder="1" applyFont="1" applyNumberFormat="1">
      <alignment shrinkToFit="0" vertical="center" wrapText="1"/>
    </xf>
    <xf borderId="19" fillId="2" fontId="1" numFmtId="4" xfId="0" applyAlignment="1" applyBorder="1" applyFont="1" applyNumberFormat="1">
      <alignment horizontal="center" shrinkToFit="0" vertical="center" wrapText="1"/>
    </xf>
    <xf borderId="19" fillId="2" fontId="1" numFmtId="0" xfId="0" applyAlignment="1" applyBorder="1" applyFont="1">
      <alignment horizontal="center" shrinkToFit="0" vertical="center" wrapText="1"/>
    </xf>
    <xf borderId="2" fillId="2" fontId="9" numFmtId="0" xfId="0" applyAlignment="1" applyBorder="1" applyFont="1">
      <alignment readingOrder="0" shrinkToFit="0" vertical="center" wrapText="1"/>
    </xf>
    <xf borderId="31" fillId="6" fontId="9" numFmtId="4" xfId="0" applyAlignment="1" applyBorder="1" applyFont="1" applyNumberFormat="1">
      <alignment horizontal="center" shrinkToFit="0" vertical="center" wrapText="1"/>
    </xf>
    <xf borderId="32" fillId="2" fontId="9" numFmtId="0" xfId="0" applyAlignment="1" applyBorder="1" applyFont="1">
      <alignment horizontal="center" readingOrder="0" shrinkToFit="0" vertical="center" wrapText="1"/>
    </xf>
    <xf borderId="33" fillId="2" fontId="9" numFmtId="0" xfId="0" applyAlignment="1" applyBorder="1" applyFont="1">
      <alignment readingOrder="0" shrinkToFit="0" vertical="center" wrapText="1"/>
    </xf>
    <xf borderId="34" fillId="2" fontId="1" numFmtId="4" xfId="0" applyAlignment="1" applyBorder="1" applyFont="1" applyNumberFormat="1">
      <alignment shrinkToFit="0" vertical="center" wrapText="1"/>
    </xf>
    <xf borderId="0" fillId="2" fontId="10" numFmtId="0" xfId="0" applyAlignment="1" applyFont="1">
      <alignment horizontal="center" readingOrder="0" shrinkToFit="0" vertical="bottom" wrapText="0"/>
    </xf>
    <xf borderId="0" fillId="0" fontId="1" numFmtId="0" xfId="0" applyAlignment="1" applyFont="1">
      <alignment readingOrder="0" shrinkToFit="0" vertical="center" wrapText="1"/>
    </xf>
    <xf borderId="35" fillId="2" fontId="1" numFmtId="3" xfId="0" applyAlignment="1" applyBorder="1" applyFont="1" applyNumberFormat="1">
      <alignment horizontal="center" shrinkToFit="0" vertical="center" wrapText="1"/>
    </xf>
    <xf borderId="35" fillId="2" fontId="1" numFmtId="165" xfId="0" applyAlignment="1" applyBorder="1" applyFont="1" applyNumberFormat="1">
      <alignment horizontal="center" shrinkToFit="0" vertical="center" wrapText="1"/>
    </xf>
    <xf borderId="36" fillId="0" fontId="1" numFmtId="0" xfId="0" applyAlignment="1" applyBorder="1" applyFont="1">
      <alignment shrinkToFit="0" vertical="center" wrapText="1"/>
    </xf>
    <xf borderId="0" fillId="2" fontId="10" numFmtId="0" xfId="0" applyAlignment="1" applyFont="1">
      <alignment shrinkToFit="0" vertical="bottom" wrapText="0"/>
    </xf>
    <xf borderId="0" fillId="2" fontId="7" numFmtId="0" xfId="0" applyAlignment="1" applyFont="1">
      <alignment shrinkToFit="0" vertical="bottom" wrapText="0"/>
    </xf>
    <xf borderId="37" fillId="0" fontId="1" numFmtId="0" xfId="0" applyAlignment="1" applyBorder="1" applyFont="1">
      <alignment shrinkToFit="0" wrapText="1"/>
    </xf>
    <xf borderId="38" fillId="2" fontId="1" numFmtId="4" xfId="0" applyAlignment="1" applyBorder="1" applyFont="1" applyNumberFormat="1">
      <alignment shrinkToFit="0" vertical="center" wrapText="1"/>
    </xf>
    <xf borderId="39" fillId="2" fontId="9" numFmtId="0" xfId="0" applyAlignment="1" applyBorder="1" applyFont="1">
      <alignment horizontal="center" readingOrder="0" shrinkToFit="0" vertical="bottom" wrapText="1"/>
    </xf>
    <xf borderId="27" fillId="2" fontId="9" numFmtId="0" xfId="0" applyAlignment="1" applyBorder="1" applyFont="1">
      <alignment horizontal="center" shrinkToFit="0" vertical="bottom" wrapText="1"/>
    </xf>
    <xf borderId="40" fillId="2" fontId="9" numFmtId="0" xfId="0" applyAlignment="1" applyBorder="1" applyFont="1">
      <alignment horizontal="center" readingOrder="0" shrinkToFit="0" vertical="bottom" wrapText="1"/>
    </xf>
    <xf borderId="28" fillId="2" fontId="1" numFmtId="0" xfId="0" applyAlignment="1" applyBorder="1" applyFont="1">
      <alignment shrinkToFit="0" vertical="center" wrapText="1"/>
    </xf>
    <xf borderId="7" fillId="5" fontId="7" numFmtId="0" xfId="0" applyAlignment="1" applyBorder="1" applyFont="1">
      <alignment horizontal="center" readingOrder="0" shrinkToFit="0" vertical="bottom" wrapText="0"/>
    </xf>
    <xf borderId="41" fillId="2" fontId="1" numFmtId="0" xfId="0" applyAlignment="1" applyBorder="1" applyFont="1">
      <alignment horizontal="left" readingOrder="0" shrinkToFit="0" vertical="center" wrapText="1"/>
    </xf>
    <xf borderId="42" fillId="2" fontId="1" numFmtId="0" xfId="0" applyAlignment="1" applyBorder="1" applyFont="1">
      <alignment horizontal="center" shrinkToFit="0" vertical="center" wrapText="1"/>
    </xf>
    <xf borderId="15" fillId="2" fontId="1" numFmtId="0" xfId="0" applyAlignment="1" applyBorder="1" applyFont="1">
      <alignment readingOrder="0" shrinkToFit="0" vertical="center" wrapText="1"/>
    </xf>
    <xf borderId="41" fillId="2" fontId="1" numFmtId="0" xfId="0" applyAlignment="1" applyBorder="1" applyFont="1">
      <alignment readingOrder="0" shrinkToFit="0" vertical="center" wrapText="1"/>
    </xf>
    <xf borderId="43" fillId="2" fontId="1" numFmtId="3" xfId="0" applyAlignment="1" applyBorder="1" applyFont="1" applyNumberFormat="1">
      <alignment horizontal="center" shrinkToFit="0" vertical="center" wrapText="1"/>
    </xf>
    <xf borderId="13" fillId="2" fontId="9" numFmtId="0" xfId="0" applyAlignment="1" applyBorder="1" applyFont="1">
      <alignment readingOrder="0" shrinkToFit="0" vertical="center" wrapText="1"/>
    </xf>
    <xf borderId="7" fillId="6" fontId="9" numFmtId="4" xfId="0" applyAlignment="1" applyBorder="1" applyFont="1" applyNumberFormat="1">
      <alignment horizontal="center" shrinkToFit="0" vertical="center" wrapText="1"/>
    </xf>
    <xf borderId="44" fillId="2" fontId="9" numFmtId="0" xfId="0" applyAlignment="1" applyBorder="1" applyFont="1">
      <alignment horizontal="center" readingOrder="0" shrinkToFit="0" vertical="center" wrapText="1"/>
    </xf>
    <xf borderId="7" fillId="6" fontId="9" numFmtId="3" xfId="0" applyAlignment="1" applyBorder="1" applyFont="1" applyNumberFormat="1">
      <alignment horizontal="center" shrinkToFit="0" vertical="center" wrapText="1"/>
    </xf>
    <xf borderId="31" fillId="6" fontId="9" numFmtId="3" xfId="0" applyAlignment="1" applyBorder="1" applyFont="1" applyNumberFormat="1">
      <alignment horizontal="center" shrinkToFit="0" vertical="center" wrapText="1"/>
    </xf>
    <xf borderId="9" fillId="2" fontId="1" numFmtId="0" xfId="0" applyAlignment="1" applyBorder="1" applyFont="1">
      <alignment shrinkToFit="0" vertical="center" wrapText="1"/>
    </xf>
    <xf borderId="36" fillId="0" fontId="1" numFmtId="0" xfId="0" applyAlignment="1" applyBorder="1" applyFont="1">
      <alignment shrinkToFit="0" wrapText="1"/>
    </xf>
    <xf borderId="45" fillId="2" fontId="1" numFmtId="0" xfId="0" applyAlignment="1" applyBorder="1" applyFont="1">
      <alignment shrinkToFit="0" wrapText="1"/>
    </xf>
    <xf borderId="13" fillId="0" fontId="1" numFmtId="0" xfId="0" applyAlignment="1" applyBorder="1" applyFont="1">
      <alignment shrinkToFit="0" wrapText="1"/>
    </xf>
    <xf borderId="46" fillId="6" fontId="9" numFmtId="4" xfId="0" applyAlignment="1" applyBorder="1" applyFont="1" applyNumberFormat="1">
      <alignment shrinkToFit="0" vertical="center" wrapText="1"/>
    </xf>
    <xf borderId="47" fillId="6" fontId="1"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image" Target="../media/image1.gif"/><Relationship Id="rId4" Type="http://schemas.openxmlformats.org/officeDocument/2006/relationships/image" Target="../media/image2.gif"/><Relationship Id="rId5"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219075</xdr:colOff>
      <xdr:row>24</xdr:row>
      <xdr:rowOff>390525</xdr:rowOff>
    </xdr:from>
    <xdr:ext cx="2038350" cy="30480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2314575</xdr:colOff>
      <xdr:row>25</xdr:row>
      <xdr:rowOff>476250</xdr:rowOff>
    </xdr:from>
    <xdr:ext cx="2266950" cy="211455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485775</xdr:colOff>
      <xdr:row>38</xdr:row>
      <xdr:rowOff>695325</xdr:rowOff>
    </xdr:from>
    <xdr:ext cx="7143750" cy="952500"/>
    <xdr:pic>
      <xdr:nvPicPr>
        <xdr:cNvPr id="0" name="image1.gif"/>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152400</xdr:colOff>
      <xdr:row>38</xdr:row>
      <xdr:rowOff>523875</xdr:rowOff>
    </xdr:from>
    <xdr:ext cx="5029200" cy="2905125"/>
    <xdr:pic>
      <xdr:nvPicPr>
        <xdr:cNvPr id="0" name="image2.gif"/>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1228725</xdr:colOff>
      <xdr:row>42</xdr:row>
      <xdr:rowOff>485775</xdr:rowOff>
    </xdr:from>
    <xdr:ext cx="5838825" cy="3724275"/>
    <xdr:pic>
      <xdr:nvPicPr>
        <xdr:cNvPr id="0" name="image5.png"/>
        <xdr:cNvPicPr preferRelativeResize="0"/>
      </xdr:nvPicPr>
      <xdr:blipFill>
        <a:blip cstate="print" r:embed="rId5"/>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2.75"/>
  <cols>
    <col customWidth="1" min="1" max="1" width="4.38"/>
    <col customWidth="1" min="2" max="2" width="31.88"/>
    <col customWidth="1" min="3" max="3" width="11.13"/>
    <col customWidth="1" min="4" max="4" width="9.63"/>
    <col customWidth="1" min="5" max="5" width="8.13"/>
    <col customWidth="1" min="6" max="6" width="7.38"/>
    <col customWidth="1" min="7" max="7" width="41.13"/>
    <col customWidth="1" min="8" max="8" width="7.38"/>
    <col customWidth="1" min="9" max="9" width="4.88"/>
    <col customWidth="1" min="10" max="10" width="6.25"/>
    <col customWidth="1" min="11" max="12" width="8.13"/>
    <col customWidth="1" min="13" max="13" width="35.5"/>
    <col customWidth="1" min="14" max="14" width="8.0"/>
    <col customWidth="1" min="15" max="15" width="7.63"/>
    <col customWidth="1" min="16" max="16" width="8.75"/>
    <col customWidth="1" min="17" max="17" width="5.75"/>
    <col customWidth="1" min="18" max="18" width="7.25"/>
  </cols>
  <sheetData>
    <row r="1" ht="32.25" customHeight="1">
      <c r="A1" s="1"/>
      <c r="B1" s="2" t="s">
        <v>0</v>
      </c>
      <c r="F1" s="3"/>
      <c r="G1" s="4" t="s">
        <v>1</v>
      </c>
      <c r="H1" s="5"/>
      <c r="I1" s="6" t="s">
        <v>2</v>
      </c>
      <c r="N1" s="3"/>
      <c r="O1" s="3"/>
      <c r="P1" s="7"/>
      <c r="Q1" s="3"/>
      <c r="R1" s="1"/>
    </row>
    <row r="2" ht="6.0" customHeight="1">
      <c r="A2" s="1"/>
      <c r="B2" s="8"/>
      <c r="C2" s="1"/>
      <c r="D2" s="1"/>
      <c r="E2" s="1"/>
      <c r="F2" s="9"/>
      <c r="H2" s="1"/>
      <c r="I2" s="1"/>
      <c r="J2" s="1"/>
      <c r="K2" s="10"/>
      <c r="L2" s="1"/>
      <c r="M2" s="1"/>
      <c r="N2" s="1"/>
      <c r="O2" s="1"/>
      <c r="P2" s="11"/>
      <c r="Q2" s="1"/>
      <c r="R2" s="1"/>
    </row>
    <row r="3" ht="15.0" customHeight="1">
      <c r="A3" s="1"/>
      <c r="B3" s="12" t="s">
        <v>3</v>
      </c>
      <c r="D3" s="13" t="s">
        <v>4</v>
      </c>
      <c r="E3" s="14"/>
      <c r="F3" s="15"/>
      <c r="G3" s="16"/>
      <c r="H3" s="17"/>
      <c r="I3" s="18"/>
      <c r="J3" s="1"/>
      <c r="K3" s="10"/>
      <c r="L3" s="1"/>
      <c r="M3" s="1"/>
      <c r="N3" s="1"/>
      <c r="O3" s="1"/>
      <c r="P3" s="11"/>
      <c r="Q3" s="1"/>
      <c r="R3" s="1"/>
    </row>
    <row r="4" ht="15.75" customHeight="1">
      <c r="A4" s="1"/>
      <c r="B4" s="13" t="s">
        <v>5</v>
      </c>
      <c r="D4" s="13" t="s">
        <v>6</v>
      </c>
      <c r="E4" s="14"/>
      <c r="F4" s="19"/>
      <c r="G4" s="20" t="s">
        <v>7</v>
      </c>
      <c r="H4" s="21"/>
      <c r="I4" s="22"/>
      <c r="J4" s="1"/>
      <c r="K4" s="10"/>
      <c r="L4" s="1"/>
      <c r="M4" s="1"/>
      <c r="N4" s="1"/>
      <c r="O4" s="1"/>
      <c r="P4" s="11"/>
      <c r="Q4" s="1"/>
      <c r="R4" s="1"/>
    </row>
    <row r="5" ht="9.0" customHeight="1">
      <c r="A5" s="1"/>
      <c r="B5" s="1"/>
      <c r="C5" s="1"/>
      <c r="D5" s="1"/>
      <c r="E5" s="1"/>
      <c r="F5" s="23"/>
      <c r="G5" s="1"/>
      <c r="H5" s="23"/>
      <c r="I5" s="18"/>
      <c r="J5" s="1"/>
      <c r="K5" s="10"/>
      <c r="L5" s="1"/>
      <c r="M5" s="1"/>
      <c r="N5" s="1"/>
      <c r="O5" s="1"/>
      <c r="P5" s="11"/>
      <c r="Q5" s="1"/>
      <c r="R5" s="1"/>
    </row>
    <row r="6" ht="21.0" customHeight="1">
      <c r="A6" s="1"/>
      <c r="B6" s="24" t="s">
        <v>8</v>
      </c>
      <c r="C6" s="1"/>
      <c r="D6" s="1"/>
      <c r="E6" s="25"/>
      <c r="F6" s="26"/>
      <c r="G6" s="24" t="s">
        <v>9</v>
      </c>
      <c r="H6" s="1"/>
      <c r="I6" s="18"/>
      <c r="J6" s="1"/>
      <c r="K6" s="27"/>
      <c r="L6" s="26"/>
      <c r="M6" s="24" t="s">
        <v>10</v>
      </c>
      <c r="R6" s="28"/>
    </row>
    <row r="7" ht="15.0" customHeight="1">
      <c r="A7" s="26"/>
      <c r="B7" s="1"/>
      <c r="C7" s="29" t="s">
        <v>11</v>
      </c>
      <c r="D7" s="30" t="s">
        <v>12</v>
      </c>
      <c r="E7" s="25"/>
      <c r="F7" s="26"/>
      <c r="G7" s="31" t="s">
        <v>13</v>
      </c>
      <c r="H7" s="1"/>
      <c r="I7" s="18"/>
      <c r="J7" s="1"/>
      <c r="K7" s="27"/>
      <c r="L7" s="26"/>
      <c r="M7" s="1"/>
      <c r="N7" s="1"/>
      <c r="O7" s="1"/>
      <c r="P7" s="11"/>
      <c r="Q7" s="1"/>
      <c r="R7" s="25"/>
    </row>
    <row r="8" ht="17.25" customHeight="1">
      <c r="A8" s="26"/>
      <c r="B8" s="1"/>
      <c r="C8" s="32" t="s">
        <v>14</v>
      </c>
      <c r="D8" s="33" t="s">
        <v>15</v>
      </c>
      <c r="E8" s="25"/>
      <c r="F8" s="26"/>
      <c r="G8" s="1"/>
      <c r="H8" s="1"/>
      <c r="I8" s="18"/>
      <c r="J8" s="1"/>
      <c r="K8" s="27"/>
      <c r="L8" s="26"/>
      <c r="M8" s="12" t="s">
        <v>16</v>
      </c>
      <c r="N8" s="34">
        <f>H25/H24</f>
        <v>0.0015</v>
      </c>
      <c r="O8" s="12" t="s">
        <v>17</v>
      </c>
      <c r="P8" s="11"/>
      <c r="Q8" s="1"/>
      <c r="R8" s="25"/>
    </row>
    <row r="9" ht="15.0" customHeight="1">
      <c r="A9" s="26"/>
      <c r="B9" s="35" t="s">
        <v>18</v>
      </c>
      <c r="C9" s="36">
        <v>55.0</v>
      </c>
      <c r="D9" s="37">
        <f t="shared" ref="D9:D12" si="1">ROUND(((1 / 0.3937) * C9),1)</f>
        <v>139.7</v>
      </c>
      <c r="E9" s="38" t="s">
        <v>19</v>
      </c>
      <c r="F9" s="26"/>
      <c r="G9" s="39" t="s">
        <v>20</v>
      </c>
      <c r="H9" s="40">
        <f>C9</f>
        <v>55</v>
      </c>
      <c r="I9" s="41" t="s">
        <v>21</v>
      </c>
      <c r="J9" s="40">
        <f>C10</f>
        <v>42</v>
      </c>
      <c r="K9" s="42" t="s">
        <v>22</v>
      </c>
      <c r="L9" s="26"/>
      <c r="M9" s="12" t="s">
        <v>23</v>
      </c>
      <c r="N9" s="34">
        <f>(C12+C11)/2</f>
        <v>2.75</v>
      </c>
      <c r="O9" s="12" t="s">
        <v>22</v>
      </c>
      <c r="P9" s="11"/>
      <c r="Q9" s="1"/>
      <c r="R9" s="25"/>
    </row>
    <row r="10" ht="15.0" customHeight="1">
      <c r="A10" s="26"/>
      <c r="B10" s="35" t="s">
        <v>24</v>
      </c>
      <c r="C10" s="36">
        <v>42.0</v>
      </c>
      <c r="D10" s="43">
        <f t="shared" si="1"/>
        <v>106.7</v>
      </c>
      <c r="E10" s="38" t="s">
        <v>19</v>
      </c>
      <c r="F10" s="26"/>
      <c r="G10" s="39" t="s">
        <v>25</v>
      </c>
      <c r="H10" s="40">
        <f>C10/C13</f>
        <v>4.666666667</v>
      </c>
      <c r="I10" s="44"/>
      <c r="J10" s="45"/>
      <c r="K10" s="42" t="s">
        <v>22</v>
      </c>
      <c r="L10" s="26"/>
      <c r="M10" s="12" t="s">
        <v>26</v>
      </c>
      <c r="N10" s="34">
        <f>(C14/850)</f>
        <v>0.8235294118</v>
      </c>
      <c r="O10" s="12" t="s">
        <v>27</v>
      </c>
      <c r="P10" s="11"/>
      <c r="Q10" s="1"/>
      <c r="R10" s="25"/>
    </row>
    <row r="11" ht="17.25" customHeight="1">
      <c r="A11" s="26"/>
      <c r="B11" s="35" t="s">
        <v>28</v>
      </c>
      <c r="C11" s="36">
        <v>2.5</v>
      </c>
      <c r="D11" s="43">
        <f t="shared" si="1"/>
        <v>6.4</v>
      </c>
      <c r="E11" s="38" t="s">
        <v>19</v>
      </c>
      <c r="F11" s="26"/>
      <c r="G11" s="39" t="s">
        <v>29</v>
      </c>
      <c r="H11" s="40">
        <f>C9</f>
        <v>55</v>
      </c>
      <c r="I11" s="41" t="s">
        <v>21</v>
      </c>
      <c r="J11" s="40">
        <f>H12*C13+(C11*2)</f>
        <v>52.70930219</v>
      </c>
      <c r="K11" s="42" t="s">
        <v>22</v>
      </c>
      <c r="L11" s="26"/>
      <c r="M11" s="12" t="s">
        <v>30</v>
      </c>
      <c r="N11" s="46">
        <f>N8*N9*N10</f>
        <v>0.003397058824</v>
      </c>
      <c r="O11" s="12" t="s">
        <v>31</v>
      </c>
      <c r="P11" s="11"/>
      <c r="Q11" s="1"/>
      <c r="R11" s="25"/>
    </row>
    <row r="12" ht="15.0" customHeight="1">
      <c r="A12" s="26"/>
      <c r="B12" s="35" t="s">
        <v>32</v>
      </c>
      <c r="C12" s="36">
        <v>3.0</v>
      </c>
      <c r="D12" s="43">
        <f t="shared" si="1"/>
        <v>7.6</v>
      </c>
      <c r="E12" s="38" t="s">
        <v>19</v>
      </c>
      <c r="F12" s="26"/>
      <c r="G12" s="39" t="s">
        <v>33</v>
      </c>
      <c r="H12" s="40">
        <f>(SQRT(((H10/2)^2+(C12-C11)^2)*2)/2)*PI()</f>
        <v>5.301033576</v>
      </c>
      <c r="I12" s="44"/>
      <c r="J12" s="45"/>
      <c r="K12" s="42" t="s">
        <v>22</v>
      </c>
      <c r="L12" s="26"/>
      <c r="M12" s="35" t="s">
        <v>34</v>
      </c>
      <c r="N12" s="47">
        <f>-17389.0897965567*N11+69.1893383835</f>
        <v>10.11757746</v>
      </c>
      <c r="O12" s="48" t="s">
        <v>35</v>
      </c>
      <c r="P12" s="11"/>
      <c r="Q12" s="1"/>
      <c r="R12" s="25"/>
    </row>
    <row r="13" ht="15.0" customHeight="1">
      <c r="A13" s="26"/>
      <c r="B13" s="35" t="s">
        <v>36</v>
      </c>
      <c r="C13" s="36">
        <v>9.0</v>
      </c>
      <c r="D13" s="49"/>
      <c r="E13" s="25"/>
      <c r="F13" s="26"/>
      <c r="G13" s="50"/>
      <c r="K13" s="28"/>
      <c r="L13" s="26"/>
      <c r="M13" s="51" t="s">
        <v>34</v>
      </c>
      <c r="N13" s="47">
        <f>(N12 -32) * (5/9)</f>
        <v>-12.15690141</v>
      </c>
      <c r="O13" s="52" t="s">
        <v>37</v>
      </c>
      <c r="P13" s="11"/>
      <c r="Q13" s="1"/>
      <c r="R13" s="25"/>
    </row>
    <row r="14" ht="15.0" customHeight="1">
      <c r="A14" s="26"/>
      <c r="B14" s="35" t="s">
        <v>38</v>
      </c>
      <c r="C14" s="36">
        <v>700.0</v>
      </c>
      <c r="D14" s="53"/>
      <c r="E14" s="25"/>
      <c r="F14" s="26"/>
      <c r="G14" s="39" t="s">
        <v>20</v>
      </c>
      <c r="H14" s="40">
        <f t="shared" ref="H14:H17" si="2">ROUND(H9 * (1/0.3937),1)</f>
        <v>139.7</v>
      </c>
      <c r="I14" s="41" t="s">
        <v>21</v>
      </c>
      <c r="J14" s="40">
        <f>ROUND(J9 * (1/0.3937),1)</f>
        <v>106.7</v>
      </c>
      <c r="K14" s="42" t="s">
        <v>19</v>
      </c>
      <c r="L14" s="26"/>
      <c r="M14" s="1"/>
      <c r="N14" s="23"/>
      <c r="O14" s="1"/>
      <c r="P14" s="1"/>
      <c r="Q14" s="1"/>
      <c r="R14" s="25"/>
    </row>
    <row r="15" ht="17.25" customHeight="1">
      <c r="A15" s="26"/>
      <c r="B15" s="35" t="s">
        <v>39</v>
      </c>
      <c r="C15" s="54">
        <v>0.05</v>
      </c>
      <c r="D15" s="55"/>
      <c r="E15" s="25"/>
      <c r="F15" s="26"/>
      <c r="G15" s="39" t="s">
        <v>25</v>
      </c>
      <c r="H15" s="40">
        <f t="shared" si="2"/>
        <v>11.9</v>
      </c>
      <c r="I15" s="44"/>
      <c r="J15" s="45"/>
      <c r="K15" s="42" t="s">
        <v>19</v>
      </c>
      <c r="L15" s="26"/>
      <c r="M15" s="1"/>
      <c r="N15" s="31" t="s">
        <v>40</v>
      </c>
      <c r="O15" s="31" t="s">
        <v>41</v>
      </c>
      <c r="P15" s="56" t="s">
        <v>42</v>
      </c>
      <c r="Q15" s="1"/>
      <c r="R15" s="25"/>
    </row>
    <row r="16" ht="15.0" customHeight="1">
      <c r="A16" s="26"/>
      <c r="B16" s="35" t="s">
        <v>43</v>
      </c>
      <c r="C16" s="57">
        <v>0.5</v>
      </c>
      <c r="D16" s="37">
        <f t="shared" ref="D16:D17" si="3">ROUND(((1 / 0.3937) * C16),1)</f>
        <v>1.3</v>
      </c>
      <c r="E16" s="38" t="s">
        <v>19</v>
      </c>
      <c r="F16" s="26"/>
      <c r="G16" s="39" t="s">
        <v>29</v>
      </c>
      <c r="H16" s="40">
        <f t="shared" si="2"/>
        <v>139.7</v>
      </c>
      <c r="I16" s="41" t="s">
        <v>21</v>
      </c>
      <c r="J16" s="40">
        <f>ROUND(J11 * (1/0.3937),1)</f>
        <v>133.9</v>
      </c>
      <c r="K16" s="42" t="s">
        <v>19</v>
      </c>
      <c r="L16" s="26"/>
      <c r="M16" s="58" t="s">
        <v>44</v>
      </c>
      <c r="N16" s="59">
        <v>0.001813207575446</v>
      </c>
      <c r="O16" s="31">
        <v>40.0</v>
      </c>
      <c r="P16" s="18">
        <f t="shared" ref="P16:P20" si="4">ROUND((O16 -32) * (5/9),0)</f>
        <v>4</v>
      </c>
      <c r="Q16" s="1"/>
      <c r="R16" s="25"/>
    </row>
    <row r="17" ht="17.25" customHeight="1">
      <c r="A17" s="26"/>
      <c r="B17" s="35" t="s">
        <v>45</v>
      </c>
      <c r="C17" s="57">
        <v>1.0</v>
      </c>
      <c r="D17" s="43">
        <f t="shared" si="3"/>
        <v>2.5</v>
      </c>
      <c r="E17" s="38" t="s">
        <v>19</v>
      </c>
      <c r="F17" s="26"/>
      <c r="G17" s="39" t="s">
        <v>33</v>
      </c>
      <c r="H17" s="40">
        <f t="shared" si="2"/>
        <v>13.5</v>
      </c>
      <c r="I17" s="44"/>
      <c r="J17" s="45"/>
      <c r="K17" s="42" t="s">
        <v>19</v>
      </c>
      <c r="L17" s="26"/>
      <c r="M17" s="58" t="s">
        <v>46</v>
      </c>
      <c r="N17" s="59">
        <v>0.001697270162156</v>
      </c>
      <c r="O17" s="31">
        <v>37.5</v>
      </c>
      <c r="P17" s="18">
        <f t="shared" si="4"/>
        <v>3</v>
      </c>
      <c r="Q17" s="1"/>
      <c r="R17" s="25"/>
    </row>
    <row r="18" ht="17.25" customHeight="1">
      <c r="A18" s="26"/>
      <c r="B18" s="35" t="s">
        <v>47</v>
      </c>
      <c r="C18" s="36">
        <v>1.68</v>
      </c>
      <c r="D18" s="43">
        <f t="shared" ref="D18:D19" si="5">ROUND(C18 * 33.906,1)</f>
        <v>57</v>
      </c>
      <c r="E18" s="38" t="s">
        <v>48</v>
      </c>
      <c r="F18" s="26"/>
      <c r="G18" s="1"/>
      <c r="H18" s="60"/>
      <c r="I18" s="60"/>
      <c r="J18" s="60"/>
      <c r="K18" s="27"/>
      <c r="L18" s="26"/>
      <c r="M18" s="58" t="s">
        <v>49</v>
      </c>
      <c r="N18" s="59">
        <v>0.002854612509448</v>
      </c>
      <c r="O18" s="31">
        <v>20.0</v>
      </c>
      <c r="P18" s="18">
        <f t="shared" si="4"/>
        <v>-7</v>
      </c>
      <c r="Q18" s="1"/>
      <c r="R18" s="25"/>
    </row>
    <row r="19" ht="17.25" customHeight="1">
      <c r="A19" s="26"/>
      <c r="B19" s="35" t="s">
        <v>50</v>
      </c>
      <c r="C19" s="36">
        <v>1.06</v>
      </c>
      <c r="D19" s="43">
        <f t="shared" si="5"/>
        <v>35.9</v>
      </c>
      <c r="E19" s="38" t="s">
        <v>48</v>
      </c>
      <c r="F19" s="26"/>
      <c r="G19" s="12" t="s">
        <v>51</v>
      </c>
      <c r="H19" s="61">
        <f>(PI()*H10*(C12-C11)*2/4)/2+(C11*H10)</f>
        <v>13.49926238</v>
      </c>
      <c r="I19" s="41" t="s">
        <v>52</v>
      </c>
      <c r="J19" s="40">
        <f>ROUND(H19 * (1/0.155),1)</f>
        <v>87.1</v>
      </c>
      <c r="K19" s="62" t="s">
        <v>53</v>
      </c>
      <c r="L19" s="26"/>
      <c r="M19" s="58" t="s">
        <v>54</v>
      </c>
      <c r="N19" s="59">
        <v>0.002996701733562</v>
      </c>
      <c r="O19" s="31">
        <v>17.5</v>
      </c>
      <c r="P19" s="18">
        <f t="shared" si="4"/>
        <v>-8</v>
      </c>
      <c r="Q19" s="1"/>
      <c r="R19" s="25"/>
    </row>
    <row r="20" ht="15.0" customHeight="1">
      <c r="A20" s="26"/>
      <c r="B20" s="1"/>
      <c r="C20" s="63" t="s">
        <v>55</v>
      </c>
      <c r="D20" s="64" t="s">
        <v>56</v>
      </c>
      <c r="E20" s="25"/>
      <c r="F20" s="26"/>
      <c r="G20" s="1"/>
      <c r="H20" s="60"/>
      <c r="I20" s="60"/>
      <c r="J20" s="60"/>
      <c r="K20" s="25"/>
      <c r="L20" s="26"/>
      <c r="M20" s="58" t="s">
        <v>57</v>
      </c>
      <c r="N20" s="59">
        <v>0.003806150012598</v>
      </c>
      <c r="O20" s="31">
        <v>0.0</v>
      </c>
      <c r="P20" s="18">
        <f t="shared" si="4"/>
        <v>-18</v>
      </c>
      <c r="Q20" s="1"/>
      <c r="R20" s="25"/>
    </row>
    <row r="21" ht="15.0" customHeight="1">
      <c r="A21" s="26"/>
      <c r="B21" s="51" t="s">
        <v>58</v>
      </c>
      <c r="C21" s="65"/>
      <c r="D21" s="66">
        <v>3.5</v>
      </c>
      <c r="E21" s="67" t="s">
        <v>59</v>
      </c>
      <c r="F21" s="26"/>
      <c r="G21" s="12" t="s">
        <v>60</v>
      </c>
      <c r="H21" s="68">
        <f>H19*C9</f>
        <v>742.459431</v>
      </c>
      <c r="I21" s="41" t="s">
        <v>61</v>
      </c>
      <c r="J21" s="69">
        <f>ROUND(H21 * (1/0.061024),0)</f>
        <v>12167</v>
      </c>
      <c r="K21" s="42" t="s">
        <v>62</v>
      </c>
      <c r="L21" s="70"/>
      <c r="M21" s="71"/>
      <c r="N21" s="71"/>
      <c r="O21" s="71"/>
      <c r="P21" s="72"/>
      <c r="Q21" s="71"/>
      <c r="R21" s="73"/>
    </row>
    <row r="22" ht="15.0" customHeight="1">
      <c r="A22" s="26"/>
      <c r="B22" s="51" t="s">
        <v>63</v>
      </c>
      <c r="C22" s="65"/>
      <c r="D22" s="74">
        <v>3.5</v>
      </c>
      <c r="E22" s="67" t="s">
        <v>59</v>
      </c>
      <c r="F22" s="26"/>
      <c r="G22" s="12" t="s">
        <v>64</v>
      </c>
      <c r="H22" s="75">
        <f>H25/C13</f>
        <v>1.113689146</v>
      </c>
      <c r="I22" s="41" t="s">
        <v>65</v>
      </c>
      <c r="J22" s="76">
        <f>ROUND((H22 * 28.3494925440835),0)</f>
        <v>32</v>
      </c>
      <c r="K22" s="42" t="s">
        <v>66</v>
      </c>
      <c r="L22" s="77"/>
      <c r="M22" s="78" t="s">
        <v>67</v>
      </c>
      <c r="N22" s="79"/>
      <c r="O22" s="79"/>
      <c r="P22" s="79"/>
      <c r="Q22" s="79"/>
      <c r="R22" s="80"/>
    </row>
    <row r="23" ht="18.75" customHeight="1">
      <c r="A23" s="26"/>
      <c r="B23" s="51" t="s">
        <v>68</v>
      </c>
      <c r="C23" s="65"/>
      <c r="D23" s="74">
        <v>2.5</v>
      </c>
      <c r="E23" s="67" t="s">
        <v>59</v>
      </c>
      <c r="F23" s="26"/>
      <c r="G23" s="1"/>
      <c r="H23" s="81"/>
      <c r="I23" s="60"/>
      <c r="J23" s="82"/>
      <c r="K23" s="27"/>
      <c r="L23" s="26"/>
      <c r="M23" s="83" t="s">
        <v>69</v>
      </c>
      <c r="N23" s="29" t="s">
        <v>70</v>
      </c>
      <c r="O23" s="84"/>
      <c r="P23" s="29" t="s">
        <v>71</v>
      </c>
      <c r="Q23" s="84"/>
      <c r="R23" s="85" t="s">
        <v>72</v>
      </c>
    </row>
    <row r="24" ht="18.75" customHeight="1">
      <c r="A24" s="26"/>
      <c r="B24" s="13" t="s">
        <v>73</v>
      </c>
      <c r="C24" s="86"/>
      <c r="D24" s="74">
        <v>14.0</v>
      </c>
      <c r="E24" s="87"/>
      <c r="F24" s="26"/>
      <c r="G24" s="12" t="s">
        <v>74</v>
      </c>
      <c r="H24" s="88">
        <f>H21*C13</f>
        <v>6682.134879</v>
      </c>
      <c r="I24" s="41" t="s">
        <v>61</v>
      </c>
      <c r="J24" s="69">
        <f>ROUND(H24 * (1/0.061024),0)</f>
        <v>109500</v>
      </c>
      <c r="K24" s="42" t="s">
        <v>62</v>
      </c>
      <c r="L24" s="26"/>
      <c r="M24" s="89" t="s">
        <v>75</v>
      </c>
      <c r="N24" s="90">
        <f>(H9 + (C16 * 2)) + ((C17 * 2 + 0.5) * 2)</f>
        <v>61</v>
      </c>
      <c r="O24" s="30" t="s">
        <v>21</v>
      </c>
      <c r="P24" s="90">
        <f>(J9 + (C16 * 2)) +((C17 * 2 + 0.5) * 2)</f>
        <v>48</v>
      </c>
      <c r="Q24" s="89" t="s">
        <v>22</v>
      </c>
      <c r="R24" s="91"/>
    </row>
    <row r="25" ht="15.0" customHeight="1">
      <c r="A25" s="26"/>
      <c r="B25" s="1"/>
      <c r="C25" s="1"/>
      <c r="D25" s="23"/>
      <c r="E25" s="25"/>
      <c r="F25" s="26"/>
      <c r="G25" s="12" t="s">
        <v>76</v>
      </c>
      <c r="H25" s="75">
        <f>(H24/C14)*(1+C15)</f>
        <v>10.02320232</v>
      </c>
      <c r="I25" s="41" t="s">
        <v>65</v>
      </c>
      <c r="J25" s="76">
        <f>ROUND((H25 * 28.3494925440835),0)</f>
        <v>284</v>
      </c>
      <c r="K25" s="42" t="s">
        <v>66</v>
      </c>
      <c r="L25" s="26"/>
      <c r="M25" s="89" t="s">
        <v>77</v>
      </c>
      <c r="N25" s="92">
        <f>(H11 + (C16 * 2))</f>
        <v>56</v>
      </c>
      <c r="O25" s="30" t="s">
        <v>21</v>
      </c>
      <c r="P25" s="92">
        <f>J11 + (C16 * 2)</f>
        <v>53.70930219</v>
      </c>
      <c r="Q25" s="89" t="s">
        <v>22</v>
      </c>
      <c r="R25" s="93"/>
    </row>
    <row r="26" ht="15.0" customHeight="1">
      <c r="A26" s="1"/>
      <c r="B26" s="1"/>
      <c r="C26" s="1"/>
      <c r="D26" s="1"/>
      <c r="E26" s="25"/>
      <c r="F26" s="26"/>
      <c r="G26" s="1"/>
      <c r="H26" s="94"/>
      <c r="I26" s="60"/>
      <c r="J26" s="95"/>
      <c r="K26" s="27"/>
      <c r="L26" s="26"/>
      <c r="M26" s="96" t="s">
        <v>78</v>
      </c>
      <c r="N26" s="97">
        <f>(N24 +N25 + 5) * 0.027778</f>
        <v>3.388916</v>
      </c>
      <c r="O26" s="98" t="s">
        <v>21</v>
      </c>
      <c r="P26" s="97">
        <f>(MAX(P24:P25) + 2) * 0.027778</f>
        <v>1.547492996</v>
      </c>
      <c r="Q26" s="99" t="s">
        <v>79</v>
      </c>
      <c r="R26" s="100">
        <f>N26 *C21</f>
        <v>0</v>
      </c>
    </row>
    <row r="27" ht="15.0" customHeight="1">
      <c r="A27" s="1"/>
      <c r="B27" s="101" t="s">
        <v>80</v>
      </c>
      <c r="C27" s="101" t="s">
        <v>81</v>
      </c>
      <c r="E27" s="28"/>
      <c r="F27" s="26"/>
      <c r="G27" s="12" t="s">
        <v>82</v>
      </c>
      <c r="H27" s="75">
        <f>(((H9*J9)+(H11*J11))*C18*0.000771604938*1.15+H25+(C11*C9*(C13-1))*0.000771604938*C19*1.15) + 0.25</f>
        <v>19.07313322</v>
      </c>
      <c r="I27" s="41" t="s">
        <v>65</v>
      </c>
      <c r="J27" s="76">
        <f>ROUND((H27 * 28.3494925440835),0)</f>
        <v>541</v>
      </c>
      <c r="K27" s="42" t="s">
        <v>66</v>
      </c>
      <c r="L27" s="26"/>
      <c r="M27" s="102" t="s">
        <v>83</v>
      </c>
      <c r="N27" s="103">
        <f>N25</f>
        <v>56</v>
      </c>
      <c r="O27" s="50"/>
      <c r="P27" s="104">
        <f>C11 + (C16 * 2)</f>
        <v>3.5</v>
      </c>
      <c r="Q27" s="102" t="s">
        <v>22</v>
      </c>
      <c r="R27" s="105"/>
    </row>
    <row r="28" ht="15.0" customHeight="1">
      <c r="A28" s="1"/>
      <c r="B28" s="1"/>
      <c r="C28" s="1"/>
      <c r="D28" s="106"/>
      <c r="E28" s="25"/>
      <c r="F28" s="26"/>
      <c r="G28" s="107"/>
      <c r="H28" s="23"/>
      <c r="I28" s="18"/>
      <c r="J28" s="23"/>
      <c r="K28" s="27"/>
      <c r="L28" s="26"/>
      <c r="M28" s="96" t="s">
        <v>84</v>
      </c>
      <c r="N28" s="97">
        <f>N25 * 0.027778</f>
        <v>1.555568</v>
      </c>
      <c r="O28" s="98" t="s">
        <v>21</v>
      </c>
      <c r="P28" s="97">
        <f>(((C13 - 1) * (C11 + (2*C16)+1)) + 2) * 0.027778</f>
        <v>1.055564</v>
      </c>
      <c r="Q28" s="99" t="s">
        <v>79</v>
      </c>
      <c r="R28" s="100">
        <f>N28 *C22</f>
        <v>0</v>
      </c>
    </row>
    <row r="29" ht="15.0" customHeight="1">
      <c r="A29" s="1"/>
      <c r="B29" s="1"/>
      <c r="C29" s="1"/>
      <c r="D29" s="106"/>
      <c r="E29" s="25"/>
      <c r="F29" s="70"/>
      <c r="G29" s="71"/>
      <c r="H29" s="71"/>
      <c r="I29" s="71"/>
      <c r="J29" s="71"/>
      <c r="K29" s="73"/>
      <c r="L29" s="26"/>
      <c r="N29" s="108"/>
      <c r="P29" s="108"/>
      <c r="R29" s="109"/>
    </row>
    <row r="30" ht="18.0" customHeight="1">
      <c r="A30" s="1"/>
      <c r="B30" s="1"/>
      <c r="C30" s="1"/>
      <c r="D30" s="106"/>
      <c r="E30" s="25"/>
      <c r="F30" s="77"/>
      <c r="G30" s="78" t="s">
        <v>85</v>
      </c>
      <c r="H30" s="110" t="s">
        <v>8</v>
      </c>
      <c r="I30" s="111" t="str">
        <f>IF(I29 &gt; 1.73, I29 - 1.73, I29)</f>
        <v/>
      </c>
      <c r="J30" s="112" t="s">
        <v>9</v>
      </c>
      <c r="K30" s="113"/>
      <c r="L30" s="26"/>
      <c r="M30" s="89" t="s">
        <v>75</v>
      </c>
      <c r="N30" s="90">
        <f t="shared" ref="N30:N31" si="6">ROUND(N24 * (1/0.3937),0)</f>
        <v>155</v>
      </c>
      <c r="O30" s="30" t="s">
        <v>21</v>
      </c>
      <c r="P30" s="90">
        <f t="shared" ref="P30:P31" si="7">ROUND(P24 * (1/0.3937),0)</f>
        <v>122</v>
      </c>
      <c r="Q30" s="89" t="s">
        <v>19</v>
      </c>
      <c r="R30" s="91"/>
    </row>
    <row r="31" ht="15.0" customHeight="1">
      <c r="A31" s="1"/>
      <c r="B31" s="1"/>
      <c r="C31" s="1"/>
      <c r="D31" s="106"/>
      <c r="E31" s="25"/>
      <c r="F31" s="26"/>
      <c r="G31" s="51" t="s">
        <v>86</v>
      </c>
      <c r="H31" s="114">
        <v>1.0</v>
      </c>
      <c r="I31" s="115" t="s">
        <v>22</v>
      </c>
      <c r="J31" s="116">
        <f>ROUND((1 / 0.3937) * H31,1)</f>
        <v>2.5</v>
      </c>
      <c r="K31" s="117" t="s">
        <v>19</v>
      </c>
      <c r="L31" s="26"/>
      <c r="M31" s="89" t="s">
        <v>77</v>
      </c>
      <c r="N31" s="92">
        <f t="shared" si="6"/>
        <v>142</v>
      </c>
      <c r="O31" s="30" t="s">
        <v>21</v>
      </c>
      <c r="P31" s="92">
        <f t="shared" si="7"/>
        <v>136</v>
      </c>
      <c r="Q31" s="89" t="s">
        <v>19</v>
      </c>
      <c r="R31" s="93"/>
    </row>
    <row r="32" ht="17.25" customHeight="1">
      <c r="A32" s="1"/>
      <c r="B32" s="1"/>
      <c r="C32" s="1"/>
      <c r="D32" s="106"/>
      <c r="E32" s="25"/>
      <c r="F32" s="26"/>
      <c r="G32" s="51" t="s">
        <v>87</v>
      </c>
      <c r="H32" s="114">
        <v>1.0</v>
      </c>
      <c r="I32" s="118" t="s">
        <v>19</v>
      </c>
      <c r="J32" s="116">
        <f>ROUND(0.3937 * H32,1)</f>
        <v>0.4</v>
      </c>
      <c r="K32" s="117" t="s">
        <v>22</v>
      </c>
      <c r="L32" s="26"/>
      <c r="M32" s="96" t="s">
        <v>78</v>
      </c>
      <c r="N32" s="97">
        <f>(N30 +N31 + 12.7) / 100</f>
        <v>3.097</v>
      </c>
      <c r="O32" s="98" t="s">
        <v>21</v>
      </c>
      <c r="P32" s="97">
        <f>(MAX(P30:P31) + 5) / 100</f>
        <v>1.41</v>
      </c>
      <c r="Q32" s="99" t="s">
        <v>88</v>
      </c>
      <c r="R32" s="100">
        <f>N32 *D21</f>
        <v>10.8395</v>
      </c>
    </row>
    <row r="33" ht="17.25" customHeight="1">
      <c r="A33" s="1"/>
      <c r="B33" s="1"/>
      <c r="C33" s="1"/>
      <c r="D33" s="106"/>
      <c r="E33" s="25"/>
      <c r="F33" s="26"/>
      <c r="G33" s="51" t="s">
        <v>89</v>
      </c>
      <c r="H33" s="114">
        <v>1.0</v>
      </c>
      <c r="I33" s="118" t="s">
        <v>90</v>
      </c>
      <c r="J33" s="116">
        <f>ROUND(H33 * 33.906,1)</f>
        <v>33.9</v>
      </c>
      <c r="K33" s="117" t="s">
        <v>48</v>
      </c>
      <c r="L33" s="26"/>
      <c r="M33" s="102" t="s">
        <v>83</v>
      </c>
      <c r="N33" s="119">
        <f>ROUND(N27 * (1/0.3937),0)</f>
        <v>142</v>
      </c>
      <c r="O33" s="30" t="s">
        <v>21</v>
      </c>
      <c r="P33" s="104">
        <f>ROUND(P27 * (1/0.3937),1)</f>
        <v>8.9</v>
      </c>
      <c r="Q33" s="102" t="s">
        <v>19</v>
      </c>
      <c r="R33" s="105"/>
    </row>
    <row r="34" ht="16.5" customHeight="1">
      <c r="A34" s="1"/>
      <c r="B34" s="1"/>
      <c r="C34" s="1"/>
      <c r="D34" s="106"/>
      <c r="E34" s="25"/>
      <c r="F34" s="26"/>
      <c r="G34" s="51" t="s">
        <v>91</v>
      </c>
      <c r="H34" s="114">
        <v>100.0</v>
      </c>
      <c r="I34" s="115" t="s">
        <v>48</v>
      </c>
      <c r="J34" s="116">
        <f>ROUND(H34 / 33.906,2)</f>
        <v>2.95</v>
      </c>
      <c r="K34" s="117" t="s">
        <v>90</v>
      </c>
      <c r="L34" s="26"/>
      <c r="M34" s="120" t="s">
        <v>84</v>
      </c>
      <c r="N34" s="121">
        <f>N31 / 100</f>
        <v>1.42</v>
      </c>
      <c r="O34" s="122" t="s">
        <v>21</v>
      </c>
      <c r="P34" s="97">
        <f>ROUND(P28 * (1/0.010936),2)</f>
        <v>96.52</v>
      </c>
      <c r="Q34" s="99" t="s">
        <v>88</v>
      </c>
      <c r="R34" s="100">
        <f>N34 *D23</f>
        <v>3.55</v>
      </c>
    </row>
    <row r="35" ht="15.0" customHeight="1">
      <c r="A35" s="1"/>
      <c r="B35" s="1"/>
      <c r="C35" s="1"/>
      <c r="D35" s="106"/>
      <c r="E35" s="25"/>
      <c r="F35" s="26"/>
      <c r="G35" s="51" t="s">
        <v>92</v>
      </c>
      <c r="H35" s="114">
        <v>3.0</v>
      </c>
      <c r="I35" s="118" t="s">
        <v>65</v>
      </c>
      <c r="J35" s="116">
        <f>ROUND((1 / 0.035274) * H35,1)</f>
        <v>85</v>
      </c>
      <c r="K35" s="117" t="s">
        <v>66</v>
      </c>
      <c r="L35" s="26"/>
      <c r="M35" s="120" t="s">
        <v>93</v>
      </c>
      <c r="N35" s="123">
        <f>ROUNDUP(H25,0)</f>
        <v>11</v>
      </c>
      <c r="O35" s="122" t="s">
        <v>65</v>
      </c>
      <c r="P35" s="124">
        <f>ROUNDUP(J25,-2)</f>
        <v>300</v>
      </c>
      <c r="Q35" s="99" t="s">
        <v>66</v>
      </c>
      <c r="R35" s="100">
        <f>(P35 / 100) * D24</f>
        <v>42</v>
      </c>
    </row>
    <row r="36" ht="15.0" customHeight="1">
      <c r="A36" s="1"/>
      <c r="B36" s="1"/>
      <c r="C36" s="1"/>
      <c r="D36" s="106"/>
      <c r="E36" s="25"/>
      <c r="F36" s="26"/>
      <c r="G36" s="51" t="s">
        <v>94</v>
      </c>
      <c r="H36" s="114">
        <v>1.0</v>
      </c>
      <c r="I36" s="115" t="s">
        <v>66</v>
      </c>
      <c r="J36" s="116">
        <f>ROUND(0.035274 * H36,2)</f>
        <v>0.04</v>
      </c>
      <c r="K36" s="117" t="s">
        <v>65</v>
      </c>
      <c r="L36" s="26"/>
      <c r="M36" s="10"/>
      <c r="N36" s="125"/>
      <c r="P36" s="108"/>
      <c r="R36" s="126"/>
    </row>
    <row r="37" ht="15.0" customHeight="1">
      <c r="A37" s="1"/>
      <c r="B37" s="1"/>
      <c r="C37" s="1"/>
      <c r="D37" s="106"/>
      <c r="E37" s="1"/>
      <c r="F37" s="1"/>
      <c r="G37" s="1"/>
      <c r="H37" s="23"/>
      <c r="I37" s="1"/>
      <c r="J37" s="127"/>
      <c r="K37" s="1"/>
      <c r="L37" s="1"/>
      <c r="M37" s="10"/>
      <c r="N37" s="10"/>
      <c r="O37" s="83" t="s">
        <v>95</v>
      </c>
      <c r="Q37" s="128"/>
      <c r="R37" s="129">
        <f>IF(R32=0," ",SUM(R30:R35))</f>
        <v>56.3895</v>
      </c>
    </row>
    <row r="38" ht="15.0" customHeight="1">
      <c r="A38" s="1"/>
      <c r="B38" s="1"/>
      <c r="C38" s="1"/>
      <c r="D38" s="106"/>
      <c r="E38" s="1"/>
      <c r="F38" s="1"/>
      <c r="G38" s="1"/>
      <c r="H38" s="1"/>
      <c r="I38" s="18"/>
      <c r="J38" s="1"/>
      <c r="K38" s="10"/>
      <c r="L38" s="1"/>
      <c r="M38" s="1"/>
      <c r="N38" s="1"/>
      <c r="O38" s="83" t="s">
        <v>96</v>
      </c>
      <c r="Q38" s="128"/>
      <c r="R38" s="130" t="str">
        <f>IF(R26=0," ",SUM(R24:R28) + R35)</f>
        <v> </v>
      </c>
    </row>
    <row r="39" ht="15.0" customHeight="1">
      <c r="A39" s="1"/>
      <c r="B39" s="1"/>
      <c r="C39" s="1"/>
      <c r="D39" s="106"/>
      <c r="E39" s="1"/>
      <c r="F39" s="1"/>
      <c r="G39" s="13" t="s">
        <v>97</v>
      </c>
      <c r="N39" s="1"/>
      <c r="O39" s="1"/>
      <c r="P39" s="11"/>
      <c r="Q39" s="1"/>
      <c r="R39" s="23"/>
    </row>
    <row r="40" ht="15.0" customHeight="1">
      <c r="A40" s="1"/>
      <c r="B40" s="1"/>
      <c r="C40" s="1"/>
      <c r="D40" s="106"/>
      <c r="E40" s="1"/>
      <c r="F40" s="1"/>
      <c r="G40" s="1"/>
      <c r="H40" s="1"/>
      <c r="I40" s="18"/>
      <c r="J40" s="1"/>
      <c r="K40" s="10"/>
      <c r="L40" s="1"/>
      <c r="M40" s="1"/>
      <c r="N40" s="1"/>
      <c r="O40" s="1"/>
      <c r="P40" s="11"/>
      <c r="Q40" s="1"/>
      <c r="R40" s="1"/>
    </row>
    <row r="41" ht="15.0" customHeight="1">
      <c r="A41" s="1"/>
      <c r="B41" s="1"/>
      <c r="C41" s="1"/>
      <c r="D41" s="106"/>
      <c r="E41" s="1"/>
      <c r="F41" s="1"/>
      <c r="G41" s="1"/>
      <c r="H41" s="1"/>
      <c r="I41" s="18"/>
      <c r="J41" s="1"/>
      <c r="K41" s="10"/>
      <c r="L41" s="1"/>
      <c r="M41" s="1"/>
      <c r="N41" s="1"/>
      <c r="O41" s="1"/>
      <c r="P41" s="11"/>
      <c r="Q41" s="1"/>
      <c r="R41" s="1"/>
    </row>
    <row r="42" ht="15.0" customHeight="1">
      <c r="A42" s="1"/>
      <c r="B42" s="1"/>
      <c r="C42" s="1"/>
      <c r="D42" s="106"/>
      <c r="E42" s="1"/>
      <c r="F42" s="1"/>
      <c r="G42" s="1"/>
      <c r="H42" s="1"/>
      <c r="I42" s="18"/>
      <c r="J42" s="1"/>
      <c r="K42" s="10"/>
      <c r="L42" s="1"/>
      <c r="M42" s="1"/>
      <c r="N42" s="1"/>
      <c r="O42" s="1"/>
      <c r="P42" s="11"/>
      <c r="Q42" s="1"/>
      <c r="R42" s="1"/>
    </row>
    <row r="43" ht="15.0" customHeight="1">
      <c r="A43" s="1"/>
      <c r="B43" s="1"/>
      <c r="C43" s="1"/>
      <c r="D43" s="106"/>
      <c r="E43" s="1"/>
      <c r="F43" s="1"/>
      <c r="G43" s="1"/>
      <c r="H43" s="1"/>
      <c r="I43" s="18"/>
      <c r="J43" s="1"/>
      <c r="K43" s="10"/>
      <c r="L43" s="1"/>
      <c r="M43" s="1"/>
      <c r="N43" s="1"/>
      <c r="O43" s="1"/>
      <c r="P43" s="11"/>
      <c r="Q43" s="1"/>
      <c r="R43" s="1"/>
    </row>
    <row r="44" ht="15.0" customHeight="1">
      <c r="A44" s="1"/>
      <c r="B44" s="1"/>
      <c r="C44" s="1"/>
      <c r="D44" s="106"/>
      <c r="E44" s="1"/>
      <c r="F44" s="1"/>
      <c r="G44" s="1"/>
      <c r="H44" s="1"/>
      <c r="I44" s="18"/>
      <c r="J44" s="1"/>
      <c r="K44" s="10"/>
      <c r="L44" s="1"/>
      <c r="M44" s="1"/>
      <c r="N44" s="1"/>
      <c r="O44" s="1"/>
      <c r="P44" s="11"/>
      <c r="Q44" s="1"/>
      <c r="R44" s="1"/>
    </row>
    <row r="45" ht="15.0" customHeight="1">
      <c r="A45" s="1"/>
      <c r="B45" s="1"/>
      <c r="C45" s="1"/>
      <c r="D45" s="106"/>
      <c r="E45" s="1"/>
      <c r="F45" s="1"/>
      <c r="G45" s="1"/>
      <c r="H45" s="1"/>
      <c r="I45" s="18"/>
      <c r="J45" s="1"/>
      <c r="K45" s="10"/>
      <c r="L45" s="1"/>
      <c r="M45" s="1"/>
      <c r="N45" s="1"/>
      <c r="O45" s="1"/>
      <c r="P45" s="11"/>
      <c r="Q45" s="1"/>
      <c r="R45" s="1"/>
    </row>
    <row r="46" ht="15.0" customHeight="1">
      <c r="A46" s="1"/>
      <c r="B46" s="1"/>
      <c r="C46" s="1"/>
      <c r="D46" s="106"/>
      <c r="E46" s="1"/>
      <c r="F46" s="1"/>
      <c r="G46" s="1"/>
      <c r="H46" s="1"/>
      <c r="I46" s="18"/>
      <c r="J46" s="1"/>
      <c r="K46" s="10"/>
      <c r="L46" s="1"/>
      <c r="M46" s="1"/>
      <c r="N46" s="1"/>
      <c r="O46" s="1"/>
      <c r="P46" s="11"/>
      <c r="Q46" s="1"/>
      <c r="R46" s="1"/>
    </row>
    <row r="47" ht="15.0" customHeight="1">
      <c r="A47" s="1"/>
      <c r="B47" s="1"/>
      <c r="C47" s="1"/>
      <c r="D47" s="106"/>
      <c r="E47" s="1"/>
      <c r="F47" s="1"/>
      <c r="G47" s="1"/>
      <c r="H47" s="1"/>
      <c r="I47" s="18"/>
      <c r="J47" s="1"/>
      <c r="K47" s="10"/>
      <c r="L47" s="1"/>
      <c r="M47" s="1"/>
      <c r="N47" s="1"/>
      <c r="O47" s="1"/>
      <c r="P47" s="11"/>
      <c r="Q47" s="1"/>
      <c r="R47" s="1"/>
    </row>
    <row r="48" ht="15.0" customHeight="1">
      <c r="A48" s="1"/>
      <c r="B48" s="1"/>
      <c r="C48" s="1"/>
      <c r="D48" s="106"/>
      <c r="E48" s="1"/>
      <c r="F48" s="1"/>
      <c r="G48" s="1"/>
      <c r="H48" s="1"/>
      <c r="I48" s="18"/>
      <c r="J48" s="1"/>
      <c r="K48" s="10"/>
      <c r="L48" s="1"/>
      <c r="M48" s="1"/>
      <c r="N48" s="1"/>
      <c r="O48" s="1"/>
      <c r="P48" s="11"/>
      <c r="Q48" s="1"/>
      <c r="R48" s="1"/>
    </row>
    <row r="49" ht="15.0" customHeight="1">
      <c r="A49" s="1"/>
      <c r="B49" s="1"/>
      <c r="C49" s="1"/>
      <c r="D49" s="106"/>
      <c r="E49" s="1"/>
      <c r="F49" s="1"/>
      <c r="G49" s="1"/>
      <c r="H49" s="1"/>
      <c r="I49" s="18"/>
      <c r="J49" s="1"/>
      <c r="K49" s="10"/>
      <c r="L49" s="1"/>
      <c r="M49" s="1"/>
      <c r="N49" s="1"/>
      <c r="O49" s="1"/>
      <c r="P49" s="11"/>
      <c r="Q49" s="1"/>
      <c r="R49" s="1"/>
    </row>
    <row r="50" ht="15.0" customHeight="1">
      <c r="A50" s="1"/>
      <c r="B50" s="1"/>
      <c r="C50" s="1"/>
      <c r="D50" s="106"/>
      <c r="E50" s="1"/>
      <c r="F50" s="1"/>
      <c r="G50" s="1"/>
      <c r="H50" s="1"/>
      <c r="I50" s="18"/>
      <c r="J50" s="1"/>
      <c r="K50" s="10"/>
      <c r="L50" s="1"/>
      <c r="M50" s="1"/>
      <c r="N50" s="1"/>
      <c r="O50" s="1"/>
      <c r="P50" s="11"/>
      <c r="Q50" s="1"/>
      <c r="R50" s="1"/>
    </row>
    <row r="51" ht="15.0" customHeight="1">
      <c r="A51" s="1"/>
      <c r="B51" s="1"/>
      <c r="C51" s="1"/>
      <c r="D51" s="106"/>
      <c r="E51" s="1"/>
      <c r="F51" s="1"/>
      <c r="G51" s="1"/>
      <c r="H51" s="1"/>
      <c r="I51" s="18"/>
      <c r="J51" s="1"/>
      <c r="K51" s="10"/>
      <c r="L51" s="1"/>
      <c r="M51" s="1"/>
      <c r="N51" s="1"/>
      <c r="O51" s="1"/>
      <c r="P51" s="11"/>
      <c r="Q51" s="1"/>
      <c r="R51" s="1"/>
    </row>
    <row r="52" ht="15.0" customHeight="1">
      <c r="A52" s="1"/>
      <c r="B52" s="1"/>
      <c r="C52" s="1"/>
      <c r="D52" s="106"/>
      <c r="E52" s="1"/>
      <c r="F52" s="1"/>
      <c r="G52" s="1"/>
      <c r="H52" s="1"/>
      <c r="I52" s="18"/>
      <c r="J52" s="1"/>
      <c r="K52" s="10"/>
      <c r="L52" s="1"/>
      <c r="M52" s="1"/>
      <c r="N52" s="1"/>
      <c r="O52" s="1"/>
      <c r="P52" s="11"/>
      <c r="Q52" s="1"/>
      <c r="R52" s="1"/>
    </row>
    <row r="53" ht="15.0" customHeight="1">
      <c r="A53" s="1"/>
      <c r="B53" s="1"/>
      <c r="C53" s="1"/>
      <c r="D53" s="106"/>
      <c r="E53" s="1"/>
      <c r="F53" s="1"/>
      <c r="G53" s="1"/>
      <c r="H53" s="1"/>
      <c r="I53" s="18"/>
      <c r="J53" s="1"/>
      <c r="K53" s="10"/>
      <c r="L53" s="1"/>
      <c r="M53" s="1"/>
      <c r="N53" s="1"/>
      <c r="O53" s="1"/>
      <c r="P53" s="11"/>
      <c r="Q53" s="1"/>
      <c r="R53" s="1"/>
    </row>
    <row r="54" ht="15.0" customHeight="1">
      <c r="A54" s="1"/>
      <c r="B54" s="1"/>
      <c r="C54" s="1"/>
      <c r="D54" s="106"/>
      <c r="E54" s="1"/>
      <c r="F54" s="1"/>
      <c r="G54" s="1"/>
      <c r="H54" s="1"/>
      <c r="I54" s="18"/>
      <c r="J54" s="1"/>
      <c r="K54" s="10"/>
      <c r="L54" s="1"/>
      <c r="M54" s="1"/>
      <c r="N54" s="1"/>
      <c r="O54" s="1"/>
      <c r="P54" s="11"/>
      <c r="Q54" s="1"/>
      <c r="R54" s="1"/>
    </row>
    <row r="55" ht="15.0" customHeight="1">
      <c r="A55" s="1"/>
      <c r="B55" s="1"/>
      <c r="C55" s="1"/>
      <c r="D55" s="106"/>
      <c r="E55" s="1"/>
      <c r="F55" s="1"/>
      <c r="G55" s="1"/>
      <c r="H55" s="1"/>
      <c r="I55" s="18"/>
      <c r="J55" s="1"/>
      <c r="K55" s="10"/>
      <c r="L55" s="1"/>
      <c r="M55" s="1"/>
      <c r="N55" s="1"/>
      <c r="O55" s="1"/>
      <c r="P55" s="11"/>
      <c r="Q55" s="1"/>
      <c r="R55" s="1"/>
    </row>
    <row r="56" ht="15.0" customHeight="1">
      <c r="A56" s="1"/>
      <c r="B56" s="1"/>
      <c r="C56" s="1"/>
      <c r="D56" s="106"/>
      <c r="E56" s="1"/>
      <c r="F56" s="1"/>
      <c r="G56" s="1"/>
      <c r="H56" s="1"/>
      <c r="I56" s="18"/>
      <c r="J56" s="1"/>
      <c r="K56" s="10"/>
      <c r="L56" s="1"/>
      <c r="M56" s="1"/>
      <c r="N56" s="1"/>
      <c r="O56" s="1"/>
      <c r="P56" s="11"/>
      <c r="Q56" s="1"/>
      <c r="R56" s="1"/>
    </row>
    <row r="57" ht="15.0" customHeight="1">
      <c r="A57" s="1"/>
      <c r="B57" s="1"/>
      <c r="C57" s="1"/>
      <c r="D57" s="106"/>
      <c r="E57" s="1"/>
      <c r="F57" s="1"/>
      <c r="G57" s="1"/>
      <c r="H57" s="1"/>
      <c r="I57" s="18"/>
      <c r="J57" s="1"/>
      <c r="K57" s="10"/>
      <c r="L57" s="1"/>
      <c r="M57" s="1"/>
      <c r="N57" s="1"/>
      <c r="O57" s="1"/>
      <c r="P57" s="11"/>
      <c r="Q57" s="1"/>
      <c r="R57" s="1"/>
    </row>
    <row r="58" ht="15.0" customHeight="1">
      <c r="A58" s="1"/>
      <c r="B58" s="1"/>
      <c r="C58" s="1"/>
      <c r="D58" s="106"/>
      <c r="E58" s="1"/>
      <c r="F58" s="1"/>
      <c r="G58" s="1"/>
      <c r="H58" s="1"/>
      <c r="I58" s="18"/>
      <c r="J58" s="1"/>
      <c r="K58" s="10"/>
      <c r="L58" s="1"/>
      <c r="M58" s="1"/>
      <c r="N58" s="1"/>
      <c r="O58" s="1"/>
      <c r="P58" s="11"/>
      <c r="Q58" s="1"/>
      <c r="R58" s="1"/>
    </row>
    <row r="59" ht="15.0" customHeight="1">
      <c r="A59" s="1"/>
      <c r="B59" s="1"/>
      <c r="C59" s="1"/>
      <c r="D59" s="106"/>
      <c r="E59" s="1"/>
      <c r="F59" s="1"/>
      <c r="G59" s="1"/>
      <c r="H59" s="1"/>
      <c r="I59" s="18"/>
      <c r="J59" s="1"/>
      <c r="K59" s="10"/>
      <c r="L59" s="1"/>
      <c r="M59" s="1"/>
      <c r="N59" s="1"/>
      <c r="O59" s="1"/>
      <c r="P59" s="11"/>
      <c r="Q59" s="1"/>
      <c r="R59" s="1"/>
    </row>
    <row r="60" ht="15.0" customHeight="1">
      <c r="A60" s="1"/>
      <c r="B60" s="1"/>
      <c r="C60" s="1"/>
      <c r="D60" s="106"/>
      <c r="E60" s="1"/>
      <c r="F60" s="1"/>
      <c r="G60" s="1"/>
      <c r="H60" s="1"/>
      <c r="I60" s="18"/>
      <c r="J60" s="1"/>
      <c r="K60" s="10"/>
      <c r="L60" s="1"/>
      <c r="M60" s="1"/>
      <c r="N60" s="1"/>
      <c r="O60" s="1"/>
      <c r="P60" s="11"/>
      <c r="Q60" s="1"/>
      <c r="R60" s="1"/>
    </row>
    <row r="61" ht="15.0" customHeight="1">
      <c r="A61" s="1"/>
      <c r="B61" s="1"/>
      <c r="C61" s="1"/>
      <c r="D61" s="106"/>
      <c r="E61" s="1"/>
      <c r="F61" s="1"/>
      <c r="G61" s="1"/>
      <c r="H61" s="1"/>
      <c r="I61" s="18"/>
      <c r="J61" s="1"/>
      <c r="K61" s="10"/>
      <c r="L61" s="1"/>
      <c r="M61" s="1"/>
      <c r="N61" s="1"/>
      <c r="O61" s="1"/>
      <c r="P61" s="11"/>
      <c r="Q61" s="1"/>
      <c r="R61" s="1"/>
    </row>
    <row r="62" ht="15.0" customHeight="1">
      <c r="A62" s="1"/>
      <c r="B62" s="1"/>
      <c r="C62" s="1"/>
      <c r="D62" s="106"/>
      <c r="E62" s="1"/>
      <c r="F62" s="1"/>
      <c r="G62" s="1"/>
      <c r="H62" s="1"/>
      <c r="I62" s="18"/>
      <c r="J62" s="1"/>
      <c r="K62" s="10"/>
      <c r="L62" s="1"/>
      <c r="M62" s="1"/>
      <c r="N62" s="1"/>
      <c r="O62" s="1"/>
      <c r="P62" s="11"/>
      <c r="Q62" s="1"/>
      <c r="R62" s="1"/>
    </row>
    <row r="63" ht="15.0" customHeight="1">
      <c r="A63" s="1"/>
      <c r="B63" s="1"/>
      <c r="C63" s="1"/>
      <c r="D63" s="106"/>
      <c r="E63" s="1"/>
      <c r="F63" s="1"/>
      <c r="G63" s="1"/>
      <c r="H63" s="1"/>
      <c r="I63" s="18"/>
      <c r="J63" s="1"/>
      <c r="K63" s="10"/>
      <c r="L63" s="1"/>
      <c r="M63" s="1"/>
      <c r="N63" s="1"/>
      <c r="O63" s="1"/>
      <c r="P63" s="11"/>
      <c r="Q63" s="1"/>
      <c r="R63" s="1"/>
    </row>
    <row r="64" ht="15.0" customHeight="1">
      <c r="A64" s="1"/>
      <c r="B64" s="1"/>
      <c r="C64" s="1"/>
      <c r="D64" s="106"/>
      <c r="E64" s="1"/>
      <c r="F64" s="1"/>
      <c r="G64" s="1"/>
      <c r="H64" s="1"/>
      <c r="I64" s="18"/>
      <c r="J64" s="1"/>
      <c r="K64" s="10"/>
      <c r="L64" s="1"/>
      <c r="M64" s="1"/>
      <c r="N64" s="1"/>
      <c r="O64" s="1"/>
      <c r="P64" s="11"/>
      <c r="Q64" s="1"/>
      <c r="R64" s="1"/>
    </row>
    <row r="65" ht="15.0" customHeight="1">
      <c r="A65" s="1"/>
      <c r="B65" s="1"/>
      <c r="C65" s="1"/>
      <c r="D65" s="106"/>
      <c r="E65" s="1"/>
      <c r="F65" s="1"/>
      <c r="G65" s="1"/>
      <c r="H65" s="1"/>
      <c r="I65" s="18"/>
      <c r="J65" s="1"/>
      <c r="K65" s="10"/>
      <c r="L65" s="1"/>
      <c r="M65" s="1"/>
      <c r="N65" s="1"/>
      <c r="O65" s="1"/>
      <c r="P65" s="11"/>
      <c r="Q65" s="1"/>
      <c r="R65" s="1"/>
    </row>
    <row r="66" ht="15.0" customHeight="1">
      <c r="A66" s="1"/>
      <c r="B66" s="1"/>
      <c r="C66" s="1"/>
      <c r="D66" s="106"/>
      <c r="E66" s="1"/>
      <c r="F66" s="1"/>
      <c r="G66" s="1"/>
      <c r="H66" s="1"/>
      <c r="I66" s="18"/>
      <c r="J66" s="1"/>
      <c r="K66" s="10"/>
      <c r="L66" s="1"/>
      <c r="M66" s="1"/>
      <c r="N66" s="1"/>
      <c r="O66" s="1"/>
      <c r="P66" s="11"/>
      <c r="Q66" s="1"/>
      <c r="R66" s="1"/>
    </row>
  </sheetData>
  <mergeCells count="12">
    <mergeCell ref="D4:E4"/>
    <mergeCell ref="C27:E27"/>
    <mergeCell ref="O37:Q37"/>
    <mergeCell ref="O38:Q38"/>
    <mergeCell ref="G39:M39"/>
    <mergeCell ref="B1:E1"/>
    <mergeCell ref="I1:M1"/>
    <mergeCell ref="B3:C3"/>
    <mergeCell ref="D3:E3"/>
    <mergeCell ref="B4:C4"/>
    <mergeCell ref="M6:R6"/>
    <mergeCell ref="M22:R22"/>
  </mergeCells>
  <drawing r:id="rId2"/>
  <legacyDrawing r:id="rId3"/>
</worksheet>
</file>